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560" firstSheet="6" activeTab="11"/>
  </bookViews>
  <sheets>
    <sheet name="JANVIER 2018" sheetId="1" r:id="rId1"/>
    <sheet name="FEVRIER 2018" sheetId="2" r:id="rId2"/>
    <sheet name="MARS 2018" sheetId="3" r:id="rId3"/>
    <sheet name="AVRIL 2018" sheetId="4" r:id="rId4"/>
    <sheet name="MAI 2018" sheetId="5" r:id="rId5"/>
    <sheet name="JUIN 2018" sheetId="6" r:id="rId6"/>
    <sheet name="JUILLET 2018" sheetId="7" r:id="rId7"/>
    <sheet name="AOÛT 2018" sheetId="8" r:id="rId8"/>
    <sheet name="SEPTEMBRE 2018" sheetId="9" r:id="rId9"/>
    <sheet name="OCTOBRE 2018" sheetId="10" r:id="rId10"/>
    <sheet name="NOVEMBRE 2018" sheetId="11" r:id="rId11"/>
    <sheet name="DECEMBRE 2018" sheetId="12" r:id="rId12"/>
  </sheets>
  <calcPr calcId="125725"/>
</workbook>
</file>

<file path=xl/calcChain.xml><?xml version="1.0" encoding="utf-8"?>
<calcChain xmlns="http://schemas.openxmlformats.org/spreadsheetml/2006/main">
  <c r="F89" i="12"/>
  <c r="F87"/>
  <c r="E87"/>
  <c r="E81" l="1"/>
  <c r="E75"/>
  <c r="E67"/>
  <c r="E57"/>
  <c r="E52"/>
  <c r="E51"/>
  <c r="E42"/>
  <c r="E41"/>
  <c r="E40"/>
  <c r="E39"/>
  <c r="F27"/>
  <c r="E21"/>
  <c r="E18"/>
  <c r="E64" i="9" l="1"/>
  <c r="E44" i="7"/>
  <c r="F69"/>
  <c r="E69"/>
  <c r="F9"/>
  <c r="F71" i="6"/>
  <c r="E71"/>
  <c r="F61" i="5"/>
  <c r="E61"/>
  <c r="F63"/>
  <c r="F59" i="11" l="1"/>
  <c r="F65" i="10"/>
  <c r="F68" i="9"/>
  <c r="F72" i="8"/>
  <c r="E3" i="5"/>
  <c r="F70" i="4"/>
  <c r="F68"/>
  <c r="E68"/>
  <c r="F81" i="3"/>
  <c r="F79"/>
  <c r="E79"/>
  <c r="F82" i="2"/>
  <c r="F80"/>
  <c r="E80"/>
  <c r="F68" i="1"/>
  <c r="F66"/>
  <c r="E66"/>
  <c r="E8" i="12" l="1"/>
  <c r="E7"/>
  <c r="E54" i="11"/>
  <c r="E52"/>
  <c r="E49"/>
  <c r="E45"/>
  <c r="E43"/>
  <c r="E36"/>
  <c r="E35"/>
  <c r="E31"/>
  <c r="E27"/>
  <c r="E19"/>
  <c r="E10"/>
  <c r="E8"/>
  <c r="E4"/>
  <c r="E62" i="10"/>
  <c r="E58"/>
  <c r="E56"/>
  <c r="E52"/>
  <c r="E49"/>
  <c r="E46"/>
  <c r="E44"/>
  <c r="E38"/>
  <c r="E37"/>
  <c r="E33"/>
  <c r="E30"/>
  <c r="E25"/>
  <c r="E21"/>
  <c r="E15" l="1"/>
  <c r="E13"/>
  <c r="E12"/>
  <c r="E7"/>
  <c r="E60" i="9" l="1"/>
  <c r="E43"/>
  <c r="E48"/>
  <c r="E56"/>
  <c r="E40"/>
  <c r="E35"/>
  <c r="E32"/>
  <c r="E26"/>
  <c r="E24"/>
  <c r="E23"/>
  <c r="E20"/>
  <c r="E15"/>
  <c r="E12"/>
  <c r="E11"/>
  <c r="E8" l="1"/>
  <c r="E4"/>
  <c r="E55" i="8"/>
  <c r="E51"/>
  <c r="E49"/>
  <c r="E44"/>
  <c r="E38"/>
  <c r="E36"/>
  <c r="E31"/>
  <c r="E29"/>
  <c r="E28"/>
  <c r="E26"/>
  <c r="E21"/>
  <c r="E11"/>
  <c r="E5"/>
  <c r="E68" i="7"/>
  <c r="E66"/>
  <c r="E61"/>
  <c r="E59"/>
  <c r="E57"/>
  <c r="E54"/>
  <c r="E43"/>
  <c r="E40"/>
  <c r="E34"/>
  <c r="E32"/>
  <c r="E27"/>
  <c r="E24"/>
  <c r="E19"/>
  <c r="E18"/>
  <c r="E12" l="1"/>
  <c r="E11"/>
  <c r="E6" l="1"/>
  <c r="E69" i="6" l="1"/>
  <c r="E65" l="1"/>
  <c r="E62"/>
  <c r="E56"/>
  <c r="E51"/>
  <c r="E46"/>
  <c r="E44"/>
  <c r="E41"/>
  <c r="E36"/>
  <c r="E34"/>
  <c r="E29"/>
  <c r="E24"/>
  <c r="E23"/>
  <c r="E18"/>
  <c r="E15"/>
  <c r="E6" i="5" l="1"/>
  <c r="E10" i="6" l="1"/>
  <c r="E5"/>
  <c r="E4"/>
  <c r="E59" i="5" l="1"/>
  <c r="E50"/>
  <c r="E51"/>
  <c r="E53"/>
  <c r="E54"/>
  <c r="E55"/>
  <c r="E57"/>
  <c r="E42"/>
  <c r="E38"/>
  <c r="E37"/>
  <c r="E36"/>
  <c r="E35"/>
  <c r="E34"/>
  <c r="E33"/>
  <c r="E17"/>
  <c r="E29" l="1"/>
  <c r="E27"/>
  <c r="E22" l="1"/>
  <c r="E16"/>
  <c r="E13"/>
  <c r="E10"/>
  <c r="E64" i="4" l="1"/>
  <c r="E62"/>
  <c r="E60"/>
  <c r="E54"/>
  <c r="E48"/>
  <c r="E47"/>
  <c r="E36"/>
  <c r="E34"/>
  <c r="E28" l="1"/>
  <c r="E26"/>
  <c r="E23"/>
  <c r="E22"/>
  <c r="E21"/>
  <c r="E20"/>
  <c r="E17"/>
  <c r="E16" l="1"/>
  <c r="E12"/>
  <c r="E77" i="3"/>
  <c r="E9" i="4" l="1"/>
  <c r="E6"/>
  <c r="E73" i="3" l="1"/>
  <c r="E72"/>
  <c r="E69"/>
  <c r="E67"/>
  <c r="E58"/>
  <c r="E57"/>
  <c r="E55"/>
  <c r="E54"/>
  <c r="E50"/>
  <c r="E43"/>
  <c r="E41"/>
  <c r="E40"/>
  <c r="E37"/>
  <c r="F34"/>
  <c r="E30" l="1"/>
  <c r="E28"/>
  <c r="E25"/>
  <c r="E20"/>
  <c r="E19" l="1"/>
  <c r="E17"/>
  <c r="E12"/>
  <c r="E16"/>
  <c r="E11"/>
  <c r="F10"/>
  <c r="E9"/>
  <c r="E7"/>
  <c r="E5" l="1"/>
  <c r="E77" i="2" l="1"/>
  <c r="E73" l="1"/>
  <c r="E70" l="1"/>
  <c r="E65"/>
  <c r="E64"/>
  <c r="E61"/>
  <c r="E57" l="1"/>
  <c r="E54" l="1"/>
  <c r="E51"/>
  <c r="E50"/>
  <c r="E48"/>
  <c r="E47"/>
  <c r="E45" l="1"/>
  <c r="E42"/>
  <c r="E40" l="1"/>
  <c r="E38"/>
  <c r="E36" l="1"/>
  <c r="E34"/>
  <c r="E33"/>
  <c r="E26"/>
  <c r="E19" l="1"/>
  <c r="E14"/>
  <c r="E12"/>
  <c r="E10"/>
  <c r="E7"/>
  <c r="F5"/>
  <c r="E3"/>
  <c r="E63" i="1"/>
  <c r="E60"/>
  <c r="E58"/>
  <c r="E3" i="3" l="1"/>
  <c r="E55" i="1"/>
  <c r="E54"/>
  <c r="E53"/>
  <c r="E52"/>
  <c r="E49"/>
  <c r="E48"/>
  <c r="E40"/>
  <c r="E39"/>
  <c r="E37"/>
  <c r="E33"/>
  <c r="E3" i="4" l="1"/>
  <c r="E30" i="1"/>
  <c r="E27"/>
  <c r="E26"/>
  <c r="E25"/>
  <c r="F24"/>
  <c r="E23"/>
  <c r="E22"/>
  <c r="E21"/>
  <c r="E18"/>
  <c r="E14"/>
  <c r="E12"/>
  <c r="E11"/>
  <c r="E9"/>
  <c r="E4"/>
  <c r="E3" i="6" l="1"/>
  <c r="F73" l="1"/>
  <c r="E3" i="7" s="1"/>
  <c r="F71" l="1"/>
  <c r="E3" i="8" s="1"/>
  <c r="E72" s="1"/>
  <c r="F74" s="1"/>
  <c r="E3" i="9" s="1"/>
  <c r="E68" s="1"/>
  <c r="F70" s="1"/>
  <c r="E3" i="10" s="1"/>
  <c r="E65" l="1"/>
  <c r="F67" s="1"/>
  <c r="E3" i="11" s="1"/>
  <c r="E59" l="1"/>
  <c r="F61" s="1"/>
  <c r="E3" i="12" s="1"/>
</calcChain>
</file>

<file path=xl/sharedStrings.xml><?xml version="1.0" encoding="utf-8"?>
<sst xmlns="http://schemas.openxmlformats.org/spreadsheetml/2006/main" count="882" uniqueCount="681">
  <si>
    <t>DATE</t>
  </si>
  <si>
    <t>PIECE N°</t>
  </si>
  <si>
    <t>DESIGNATION</t>
  </si>
  <si>
    <t>ENTREE</t>
  </si>
  <si>
    <t>SORTIE</t>
  </si>
  <si>
    <t>CARBURANT JIMNY</t>
  </si>
  <si>
    <t>TOTAL</t>
  </si>
  <si>
    <t>FOURNITURES - PAPIGRAPH</t>
  </si>
  <si>
    <t>FOURNITURES - BERNABE</t>
  </si>
  <si>
    <t>VENTES AU COMPTANT DU 02/02</t>
  </si>
  <si>
    <t>ENTRETIEN CLIMATISATION</t>
  </si>
  <si>
    <t>FACTURE SODECI</t>
  </si>
  <si>
    <t>FOURNITURES - ADJARATOU</t>
  </si>
  <si>
    <t>RECHARGES ORANGE</t>
  </si>
  <si>
    <t>TIMBRES FISCAUX</t>
  </si>
  <si>
    <t>RELIURES - M-L</t>
  </si>
  <si>
    <t>LAVAGE JIMNY</t>
  </si>
  <si>
    <t>VENTES AU COMPTANT DU 03/01</t>
  </si>
  <si>
    <t>PEAGE AUTOROUTE YOPOUGON</t>
  </si>
  <si>
    <t>VENTES AU COMPTANT DU 05/01</t>
  </si>
  <si>
    <t>VENTES AU COMPTANT DU 06/01</t>
  </si>
  <si>
    <t>VENTES AU COMPTANT DU 09/01</t>
  </si>
  <si>
    <t>VENTES AU COMPTANT DU 10/01</t>
  </si>
  <si>
    <t>VENTES AU COMPTANT DU 11/01</t>
  </si>
  <si>
    <t>VENTES AU COMPTANT DU 12/01</t>
  </si>
  <si>
    <t>VENTES AU COMPTANT DU 13/01</t>
  </si>
  <si>
    <t>VENTES AU COMPTANT DU 01/02</t>
  </si>
  <si>
    <t>VENTES AU COMPTANT DU 01/03</t>
  </si>
  <si>
    <t>RELIURE - M-L</t>
  </si>
  <si>
    <t>VENTES AU COMPTANT DU 03/04</t>
  </si>
  <si>
    <t>REPARATION MOTO</t>
  </si>
  <si>
    <t>ENTREE PORT - M-L</t>
  </si>
  <si>
    <t>MANUTENTION HYSTER</t>
  </si>
  <si>
    <t>MANUTENTION HYSTER - EMILE MAURIN</t>
  </si>
  <si>
    <t>FOURNITURES - SOCOCE</t>
  </si>
  <si>
    <t>MANUTENTION HYSTER - FABORY</t>
  </si>
  <si>
    <t>ENTREE PAA</t>
  </si>
  <si>
    <t>LIVRAISON M/SE - UNIWAX</t>
  </si>
  <si>
    <t>REPORT DECEMBRE 2017</t>
  </si>
  <si>
    <t>VENTES AU COMPTANT DU 02/01</t>
  </si>
  <si>
    <t>AVANCE SUR SALAIRE JANVIER 2018 - JUDICAEL</t>
  </si>
  <si>
    <t>AVANCE SUR SALAIRE JANVIER 2018 - SENOU BI</t>
  </si>
  <si>
    <t>AVANCE SUR SALAIRE JANVIER 2018 - GASTON</t>
  </si>
  <si>
    <t>POSE CAISSE - MOTO</t>
  </si>
  <si>
    <t>VENTES AU COMPTANT DU 04/01</t>
  </si>
  <si>
    <t>FRAIS TAXI - SEMAINE DU 01/01 AU 06/01</t>
  </si>
  <si>
    <t>LAVAGE VEH</t>
  </si>
  <si>
    <t>VENTES AU COMPTANT DU 08/01</t>
  </si>
  <si>
    <t>ACHAT CASQUE INTEGRAL</t>
  </si>
  <si>
    <t>AVANCE SUR SALAIRE JANVIER 2018 - TANOH</t>
  </si>
  <si>
    <t>REGLEMENT ETS AUDIS</t>
  </si>
  <si>
    <t>FRAIS TAXI - SEMAINE DU 08/01 AU 13/01</t>
  </si>
  <si>
    <t>PRÊT - KONAN N'GORAN GASTON</t>
  </si>
  <si>
    <t>VENTES AU COMPTANT DU 15/01</t>
  </si>
  <si>
    <t>ACHAT TELEPHONE MOOV</t>
  </si>
  <si>
    <t>VENTES AU COMPTANT DU 17/01</t>
  </si>
  <si>
    <t>REPRODUCTION CLES</t>
  </si>
  <si>
    <t>VENTES AU COMPTANT DU 18/01</t>
  </si>
  <si>
    <t>VENTES AU COMPTANT DU 19/01</t>
  </si>
  <si>
    <t>VENTES AU COMPTANT DU 20/01</t>
  </si>
  <si>
    <t>FRAIS TAXI - SEMAINE DU 15/01 AU 20/01</t>
  </si>
  <si>
    <t>RGT FACTURES PCM</t>
  </si>
  <si>
    <t>PRÊT - AHONON TANOH HYACINTHE</t>
  </si>
  <si>
    <t>AVANCE FACTURES NORMALISEES</t>
  </si>
  <si>
    <t>VENTES AU COMPTANT DU 22/01</t>
  </si>
  <si>
    <t>VENTES AU COMPTANT DU 23/01</t>
  </si>
  <si>
    <t>MANUTENTION HYSTER - 1 - FABORY - 06/01 - 33 pls</t>
  </si>
  <si>
    <t>VENTES AU COMPTANT DU 24/01</t>
  </si>
  <si>
    <t>VENTES AU COMPTANT DU 25/01</t>
  </si>
  <si>
    <t>VENTES AU COMPTANT DU 26/01</t>
  </si>
  <si>
    <t>VENTES AU COMPTANT DU 27/01</t>
  </si>
  <si>
    <t>CARTES DE VISITE</t>
  </si>
  <si>
    <t>FRAIS TAXI - SEMAINE DU 22/01 AU 27/01</t>
  </si>
  <si>
    <t>VENTES AU COMPTANT DU 29/01</t>
  </si>
  <si>
    <t>REGLEMENT FRAIS CHQ IMPAYE - CMID</t>
  </si>
  <si>
    <t>VENTES AU COMPTANT DU 30/01</t>
  </si>
  <si>
    <t>AVANCE TRAVAUX DE MENUISERIE</t>
  </si>
  <si>
    <t>VENTES AU COMPTANT DU 31/01</t>
  </si>
  <si>
    <t>FRAIS TAXI - SEMAINE DU 29/01 AU 31/01</t>
  </si>
  <si>
    <t>REPORT JANVIER 2018</t>
  </si>
  <si>
    <t>VIN - CAVAVIN</t>
  </si>
  <si>
    <t>HUILE VIDANGE MOTO</t>
  </si>
  <si>
    <t>ENTRETIEN CLIMATISATIONS</t>
  </si>
  <si>
    <t>LAVAGE MOTO</t>
  </si>
  <si>
    <t>VENTES AU COMPTANT DU 03/02</t>
  </si>
  <si>
    <t>FRAIS TAXI - SEMAINE DU 01/02 AU 03/02</t>
  </si>
  <si>
    <t>VENTES AU COMPTANT DU 05/02</t>
  </si>
  <si>
    <t>PEAGE AUTOROUTE YOP</t>
  </si>
  <si>
    <t>VIN - LA CLE DES CHATEAUX</t>
  </si>
  <si>
    <t>VENTES AU COMPTANT DU 06/02</t>
  </si>
  <si>
    <t>FONTAINE A EAU - LAVIVA</t>
  </si>
  <si>
    <t>SOLDE FACTURES NORMALISEES</t>
  </si>
  <si>
    <t>CHAMBRE A AIR MOTO - RIMCO</t>
  </si>
  <si>
    <t>RGT CHEQUE IMPAYE - SIDECI</t>
  </si>
  <si>
    <t>VENTES AU COMPTANT DU 07/02</t>
  </si>
  <si>
    <t>RGT IBIC SARL</t>
  </si>
  <si>
    <t>RGT SIGEC</t>
  </si>
  <si>
    <t>SOLDE TRAVAUX DE MENUISERIE</t>
  </si>
  <si>
    <t>VENTES AU COMPTANT DU 08/02</t>
  </si>
  <si>
    <t>VENTES AU COMPTANT DU 09/02</t>
  </si>
  <si>
    <t>TRAVAUX DE MENUISERIE</t>
  </si>
  <si>
    <t>VENTES AU COMPTANT DU 10/02</t>
  </si>
  <si>
    <t>FRAIS TAXI - SEMAINE DU 05/02 AU 10/02</t>
  </si>
  <si>
    <t>VENTES AU COMPTANT DU 12/02</t>
  </si>
  <si>
    <t>VENTES AU COMPTANT DU 13/02</t>
  </si>
  <si>
    <t>LIVRAISON M/SE YOP - CEMOI</t>
  </si>
  <si>
    <t>VENTES AU COMPTANT DU 14/02</t>
  </si>
  <si>
    <t>CARBURANT TOTAL MOTO</t>
  </si>
  <si>
    <t>VENTES AU COMPTANT DU 15/02</t>
  </si>
  <si>
    <t>LA NOUVELLE GORGE D'OR - SACO</t>
  </si>
  <si>
    <t>VENTES AU COMPTANT DU 16/02</t>
  </si>
  <si>
    <t>VENTES AU COMPTANT DU 17/02</t>
  </si>
  <si>
    <t>FRAIS TAXI - SEMAINE DU 12/02 AU 17/02</t>
  </si>
  <si>
    <t>VENTES AU COMPTANT DU 19/02</t>
  </si>
  <si>
    <t>VENTES AU COMPTANT DU 20/02</t>
  </si>
  <si>
    <t>MAINTENANCE INFORMATIQUE 12/17 &amp; 01/18</t>
  </si>
  <si>
    <t>VENTES AU COMPTANT DU 21/02</t>
  </si>
  <si>
    <t>RELIURE - GASTON</t>
  </si>
  <si>
    <t>AVANCE SUR SALAIRE FEVRIER 2018 - PIERRE-LOUIS</t>
  </si>
  <si>
    <t>SACHETS PLASTIQUES</t>
  </si>
  <si>
    <t>VENTES AU COMPTANT DU 22/02</t>
  </si>
  <si>
    <t>VENTES AU COMPTANT DU 23/02</t>
  </si>
  <si>
    <t>VENTES AU COMPTANT DU 24/02</t>
  </si>
  <si>
    <t>FRAIS TAXI - SEMAINE DU 19/02 AU 24/02</t>
  </si>
  <si>
    <t>AVANCE SUR SALAIRE FEVRIER 2018 - SENOU BI</t>
  </si>
  <si>
    <t>AVANCE SUR SALAIRE FEVRIER 2018 - JUDICAEL</t>
  </si>
  <si>
    <t>VENTES AU COMPTANT DU 26/02</t>
  </si>
  <si>
    <t>CONTRAT D'ABONNEMENT PROFESSIONNEL - MOOV</t>
  </si>
  <si>
    <t>VENTES AU COMPTANT DU 27/02</t>
  </si>
  <si>
    <t>REDEVANCE PUBLICITE - 2018</t>
  </si>
  <si>
    <t>SOIREE Cercle Français des Affaires</t>
  </si>
  <si>
    <t>VENTES AU COMPTANT DU 28/02</t>
  </si>
  <si>
    <t>FRAIS TAXI - SEMAINE DU 26/02 AU 28/02</t>
  </si>
  <si>
    <t>REPORT FEVRIER 2018</t>
  </si>
  <si>
    <t>VENTES AU COMPTANT DU 03/03</t>
  </si>
  <si>
    <t>RGT FACTURE 129 - ATR</t>
  </si>
  <si>
    <t>VENTES AU COMPTANT DU 05/03</t>
  </si>
  <si>
    <t>VENTES AU COMPTANT DU 06/03</t>
  </si>
  <si>
    <t>TRAVAUX PLOMBERIE</t>
  </si>
  <si>
    <t>RECHARGES EAU LAVIVA</t>
  </si>
  <si>
    <t>VENTES AU COMPTANT DU 07/03</t>
  </si>
  <si>
    <t>VENTES AU COMPTANT DU 08/03</t>
  </si>
  <si>
    <t>VENTES AU COMPTANT DU 09/03</t>
  </si>
  <si>
    <t>VENTES AU COMPTANT DU 10/03</t>
  </si>
  <si>
    <t>FRAIS TAXI - SEMAINE DU 05/03 AU 10/03</t>
  </si>
  <si>
    <t>SOLDE FACTURES CMAPS</t>
  </si>
  <si>
    <t>VENTES AU COMPTANT DU 12/03</t>
  </si>
  <si>
    <t>REPARATION CHAMBRE A AIR MOTO</t>
  </si>
  <si>
    <t>VENTES AU COMPTANT DU 13/03</t>
  </si>
  <si>
    <t>ACCESSOIRES CUIR - SANAGA CREATION</t>
  </si>
  <si>
    <t>VENTES AU COMPTANT DU 14/03</t>
  </si>
  <si>
    <t xml:space="preserve">LIBRAIRIE DE France </t>
  </si>
  <si>
    <t>FICHE DE CODE IMPORT / EXPORT</t>
  </si>
  <si>
    <t>ANNEXE FISCALE 2018</t>
  </si>
  <si>
    <t>RGT FACTURE 21712729 - HESNAULT</t>
  </si>
  <si>
    <t>VENTES AU COMPTANT DU 15/03</t>
  </si>
  <si>
    <t>AVANCE SUR SALAIRE MARS 2018 - JUDICAEL</t>
  </si>
  <si>
    <t>VENTES AU COMPTANT DU 16/03</t>
  </si>
  <si>
    <t>VENTES AU COMPTANT DU 17/03</t>
  </si>
  <si>
    <t>FRAIS TAXI - SEMAINE DU 12/03 AU 17/03</t>
  </si>
  <si>
    <t>VENTES AU COMPTANT DU 19/03</t>
  </si>
  <si>
    <t>FOURNITURES - HAZZAZ AMAL</t>
  </si>
  <si>
    <t>AVANCE SUR SALAIRE MARS 2018 - GASTON</t>
  </si>
  <si>
    <t>VENTES AU COMPTANT DU 20/03</t>
  </si>
  <si>
    <t>AVANCE SUR SALAIRE MARS 2018 - PIERRE-LOUIS</t>
  </si>
  <si>
    <t>VENTES AU COMPTANT DU 21/03</t>
  </si>
  <si>
    <t>VENTES AU COMPTANT DU 22/03</t>
  </si>
  <si>
    <t>VENTES AU COMPTANT DU 23/03</t>
  </si>
  <si>
    <t>VENTES AU COMPTANT DU 24/03</t>
  </si>
  <si>
    <t>FRAIS TAXI - SEMAINE DU 19/03 AU 24/03</t>
  </si>
  <si>
    <t>AVANCE SUR SALAIRE MARS 2018 - SENOU BI</t>
  </si>
  <si>
    <t>PRÊT - SENOU BI SEVERIN</t>
  </si>
  <si>
    <t>PETIT-DEJEUNER DEBAT - CCIF-CI</t>
  </si>
  <si>
    <t>COTISATION 2018 - CFA-CI</t>
  </si>
  <si>
    <t>FORMATION - CFA-CI</t>
  </si>
  <si>
    <t>VENTES AU COMPTANT DU 26/03</t>
  </si>
  <si>
    <t>REPARATION AMPOULE JIMNY</t>
  </si>
  <si>
    <t>VENTES AU COMPTANT DU 27/03</t>
  </si>
  <si>
    <t>VENTES AU COMPTANT DU 28/03</t>
  </si>
  <si>
    <t>VENTES AU COMPTANT DU 29/03</t>
  </si>
  <si>
    <t>MAINTENANCE INFORMATIQUE 02/18</t>
  </si>
  <si>
    <t>STAGE - JEAN-DANIEL AHOULE</t>
  </si>
  <si>
    <t>VENTES AU COMPTANT DU 30/03</t>
  </si>
  <si>
    <t>FRAIS TAXI - SEMAINE DU 26/03 AU 31/03</t>
  </si>
  <si>
    <t>REPORT MARS 2018</t>
  </si>
  <si>
    <t>VIN - CAVAVIN CI</t>
  </si>
  <si>
    <t>VENTES AU COMPTANT DU 04/04</t>
  </si>
  <si>
    <t>RGT FACTURE 1527 - IBIC</t>
  </si>
  <si>
    <t>VENTES AU COMPTANT DU 05/04</t>
  </si>
  <si>
    <t>AVANCE TRAVAUX MENUISERIE</t>
  </si>
  <si>
    <t>TRAVAUX ELECTRICITE - EIEE</t>
  </si>
  <si>
    <t>VENTES AU COMPTANT DU 06/04</t>
  </si>
  <si>
    <t>VENTES AU COMPTANT DU 07/04</t>
  </si>
  <si>
    <t>MAINTENANCE INFORMATIQUE 03/18</t>
  </si>
  <si>
    <t>FRAIS TAXI - SEMAINE DU 03/04 AU 07/04</t>
  </si>
  <si>
    <t>VENTES AU COMPTANT DU 10/04</t>
  </si>
  <si>
    <t>RGT FACTURE YARA</t>
  </si>
  <si>
    <t>VENTES AU COMPTANT DU 11/04</t>
  </si>
  <si>
    <t>COCKTAIL - CFA-CI</t>
  </si>
  <si>
    <t>VENTES AU COMPTANT DU 12/04</t>
  </si>
  <si>
    <t>FACTURE AVOIR - TIMBINE HAMED</t>
  </si>
  <si>
    <t>VENTES AU COMPTANT DU 13/04</t>
  </si>
  <si>
    <t>AVANCE SUR SALAIRE AVRIL 2018 - JUDICAEL</t>
  </si>
  <si>
    <t>FRAIS TAXI - SEMAINE DU 09/04 AU 14/04</t>
  </si>
  <si>
    <t>ACHAT PAPIER RAME - PAPIGRAPH</t>
  </si>
  <si>
    <t>MAIN D'ŒUVRE MENUISERIE DU 16/04/18</t>
  </si>
  <si>
    <t>LIVRAISON SOLIBRA DU 16/04/18</t>
  </si>
  <si>
    <t>VENTES AU COMPTANT 16/04/18</t>
  </si>
  <si>
    <t>LIVRAISON UNIWAX DU 17/04/18</t>
  </si>
  <si>
    <t>VENTES AU COMPTANT DU 17/04/18</t>
  </si>
  <si>
    <t>ACHAT BOMBONNES D'EAU DU 18/04/18</t>
  </si>
  <si>
    <t>VENTES AU COMPTANT DU 18/04/18</t>
  </si>
  <si>
    <t>PONT A PEAGE DU 19/04/18</t>
  </si>
  <si>
    <t>LAVAGE MOTO DU 19/04/18</t>
  </si>
  <si>
    <t>VENTES AU COMPTANT DU 19/04/18</t>
  </si>
  <si>
    <t>LAVAGE DU VEHICULE DU 20/04/18</t>
  </si>
  <si>
    <t>ACHATS CHEVILLES - ECHANTILLON DU 20/04/18</t>
  </si>
  <si>
    <t>STATIONNEMENT DE VEHICULE (PLATEAU) 20/04/18</t>
  </si>
  <si>
    <t>FRAIS DE MISSION DU 23 AU 27/04/18</t>
  </si>
  <si>
    <t>AVANCE SUR SALAIRE GASTON N'GORAN</t>
  </si>
  <si>
    <t>VENTES AU COMPTANT DU 20/04/18</t>
  </si>
  <si>
    <t>VENTES AU COMPTANT DU 23/04/18</t>
  </si>
  <si>
    <t>FACTURE AVOIR SIVMAT (00585) DU 24/04/18</t>
  </si>
  <si>
    <t>VENTES AU COMPTANT DU 24/04/18</t>
  </si>
  <si>
    <t>ACHAT DE CHARIOT - EN.I.BAT</t>
  </si>
  <si>
    <t>CONTRAVENTION DU 25/04/2018</t>
  </si>
  <si>
    <t>REGLEMENT FACTURE SODECI</t>
  </si>
  <si>
    <t>VENTES AU COMPTANT DU 25/04/2018</t>
  </si>
  <si>
    <t>AVANCE SUR SALAIRE DU MOIS D'AVRIL - SENOU BI</t>
  </si>
  <si>
    <t>ENTREE PORT DU 26/04/2018</t>
  </si>
  <si>
    <t>RELIQUAT SALAIRE ATCHUI MOCKE JUDICAEL - MARS</t>
  </si>
  <si>
    <t>AVANCE FACTURE ETS AUDIS - FACTURE N° 00864</t>
  </si>
  <si>
    <t>VENTES AU COMPTANT DU 26/04/2018</t>
  </si>
  <si>
    <t>VIDANGE DE MOTO DU 27/04/2018</t>
  </si>
  <si>
    <t>VENTES AU COMPTANT DU 27/04/2018</t>
  </si>
  <si>
    <t>ENTREE PORT DU 30/04/18</t>
  </si>
  <si>
    <t>VENTE AU COMPTANT DU 30/04/2018</t>
  </si>
  <si>
    <t>REPAS 1ER MAI</t>
  </si>
  <si>
    <t>CONFECTION ETAGERES METALLIQUES - CMAPS</t>
  </si>
  <si>
    <t>FRAIS TAXI - 16 AU 30 AVRIL 2018</t>
  </si>
  <si>
    <t>REPORT AVRIL 2018</t>
  </si>
  <si>
    <t>FACTURE RETOUR - TERRATEST</t>
  </si>
  <si>
    <t>VENTES AU COMPTANT DU 02/05/2018</t>
  </si>
  <si>
    <t>RELIURE DU 03/05/2018</t>
  </si>
  <si>
    <t>RECHARGE ORANGE CI</t>
  </si>
  <si>
    <t>AVANCE SUR SALAIRE MOIS DE MAI - SENOU BI</t>
  </si>
  <si>
    <t>VENTES AU COMPTANT DU 03/05/2018</t>
  </si>
  <si>
    <t>ACHAT CACHETS DU 04/05/2018</t>
  </si>
  <si>
    <t>ACHAT EAU - LAVIVA</t>
  </si>
  <si>
    <t>VENTES AU COMPTANT DU 04/05/2018</t>
  </si>
  <si>
    <t>REGLEMENT TIMBRES FISCAUX</t>
  </si>
  <si>
    <t>ACHATS SOCOCE MAI 2018</t>
  </si>
  <si>
    <t>VENTES AU COMPTANT DU 05&amp;07/05/2018</t>
  </si>
  <si>
    <t>VENTES AU COMPTANT DU 08/05/2018</t>
  </si>
  <si>
    <t>REGLEMENT FACTURE - MIVA MANAGEMENT</t>
  </si>
  <si>
    <t>REGLEMENT FACTURE 00577 - IPS EQUIPMENT</t>
  </si>
  <si>
    <t>AVANCE SUR SALAIRE MOIS DE MAI - ATCHUI MOCKE J.</t>
  </si>
  <si>
    <t>VENTES AU COMPTANT DU 12/05/2018</t>
  </si>
  <si>
    <t>VIDANGE MOTO</t>
  </si>
  <si>
    <t>FRAIS TAXI - 2 AU 12 MAI 2018</t>
  </si>
  <si>
    <t>RGT FACTURES COMPTANT</t>
  </si>
  <si>
    <t>SOLDE TRAVAIL MENUISERIE</t>
  </si>
  <si>
    <t>RGT DIVERSES FACTURES COMPTANT</t>
  </si>
  <si>
    <t>ACHATS PAPIGRAPH</t>
  </si>
  <si>
    <t>RECHARGEMENT CARTE TOTALE</t>
  </si>
  <si>
    <t>ACHAT - DMD YOPOUGON</t>
  </si>
  <si>
    <t>VENTES AU COMPTANT DU 15/05/2018</t>
  </si>
  <si>
    <t>VENTES AU COMPTANT DU 16/05/2018</t>
  </si>
  <si>
    <t>VENTES AU COMPTANT DU 17/05/2018</t>
  </si>
  <si>
    <t>VENTES AU COMPTANT DU 18/05/2018</t>
  </si>
  <si>
    <t>VENTES AU COMPTANT DU 19/05/2018</t>
  </si>
  <si>
    <t>VENTES AU COMPTANT DU 22/05/2018</t>
  </si>
  <si>
    <t>REGLEMENT FACTURE FLOTTE - MOOV</t>
  </si>
  <si>
    <t>TRAVAUX D'ELECTRICITE DU 23/05/2018</t>
  </si>
  <si>
    <t>AVANCE SUR SALIRE KONAN GASTON - MOIS DE MAI</t>
  </si>
  <si>
    <t>VENTES AU COMPTANT DU 23/05/2018</t>
  </si>
  <si>
    <t>FACTURE AVOIR - IPRESCODI SARL FAC 00748</t>
  </si>
  <si>
    <t>RGT FACTURES DIVERSES PCM</t>
  </si>
  <si>
    <t>PRÊT - TANOH AHONON</t>
  </si>
  <si>
    <t xml:space="preserve">FACTURE AVOIR - BCMM CI </t>
  </si>
  <si>
    <t>ACHAT FOURNITURES - CHAIBOU AWALI</t>
  </si>
  <si>
    <t>ACHAT RECHARGE - ORANGE</t>
  </si>
  <si>
    <t xml:space="preserve">ACHAT REGLETTES </t>
  </si>
  <si>
    <t>VENTES AU COMPTANT DU 24&amp;25/05/2018</t>
  </si>
  <si>
    <t>VENTES AU COMPTANT DU 26/05/2018</t>
  </si>
  <si>
    <t>VIDANGE ET LAVAGE DE MOTO</t>
  </si>
  <si>
    <t>VENTES AU COMPTANT DU 28/05/2018</t>
  </si>
  <si>
    <t>VENTES AU COMPTANT DU 29/05/2018</t>
  </si>
  <si>
    <t>VENTES AU COMPTANT DU 30/05/2018</t>
  </si>
  <si>
    <t>PRIME DE STAGE - JEAN DANIEL MOIS DE MAI</t>
  </si>
  <si>
    <t>VENTES AU COMPTANT DU 31/05/2018</t>
  </si>
  <si>
    <t>IMPRESSIONS - OPHIR GRAPHIC</t>
  </si>
  <si>
    <t>FACTURE COMPTANT</t>
  </si>
  <si>
    <t>FRAIS TAXI - 15 AU 31 MAI 2018</t>
  </si>
  <si>
    <t>REPORT MAI 2018</t>
  </si>
  <si>
    <t>VENTES AU COMPTANT DU 01/06/2018</t>
  </si>
  <si>
    <t>VENTES AU COMPTANT DU 02/06/2018</t>
  </si>
  <si>
    <t>ACHAT PAPIGRAPH</t>
  </si>
  <si>
    <t>LAVAGE ET ASPIRATEUR AUTO</t>
  </si>
  <si>
    <t>ACHATS SOCOCE-RAMADAN+PILES</t>
  </si>
  <si>
    <t>EQUILIBRAGE AUTO</t>
  </si>
  <si>
    <t>VENTES AU COMPTANT DU 04/06/2018</t>
  </si>
  <si>
    <t>EAU-LAVIVA</t>
  </si>
  <si>
    <t>PONT A PEAGE</t>
  </si>
  <si>
    <t>MONDIAL LOGISTICS-REGLEMENT FA0000324 DU 29/05/17</t>
  </si>
  <si>
    <t>VENTES AU COMPTANT DU 05/06/2018</t>
  </si>
  <si>
    <t>REGLEMENT FACTURE E.I.E.E - MOIS MAI</t>
  </si>
  <si>
    <t>ACHAT CARTE DE RECHARGE - ORANGE</t>
  </si>
  <si>
    <t>VENTES AU COMPTANT DU 06/06/2018</t>
  </si>
  <si>
    <t>VIDANGE DE MOTO</t>
  </si>
  <si>
    <t>FOURNITURE DE MATERIEL FERRONNERIE-MAGASIN</t>
  </si>
  <si>
    <t>CHOSE BLUTOOTH ET PILE - JIMNY</t>
  </si>
  <si>
    <t xml:space="preserve">SOFIM FR0658 &amp; FA0890 </t>
  </si>
  <si>
    <t>VENTE AU COMPTANT DU 08/06/2018</t>
  </si>
  <si>
    <t>VENTES AU COMPTANT DU 12/06/2018</t>
  </si>
  <si>
    <t>FRAIS DE TAXIS DU 04 AU 09 JUIN 2018</t>
  </si>
  <si>
    <t xml:space="preserve">IPS EQUIPMENT - REGLEMENT FACTURE N°00551 </t>
  </si>
  <si>
    <t>ACHAT DE PIECE, LAVAGE ET REPARATION DE LA MOTO</t>
  </si>
  <si>
    <t>ACHAT D'ECROUS - CMID</t>
  </si>
  <si>
    <t>VENTES AU COMPTANT DU 13/06/2018</t>
  </si>
  <si>
    <t>AVANCE SUR SALAIRE KONAN GASTON - MOIS DE JUIN</t>
  </si>
  <si>
    <t>ACHAT DE TELEVISION</t>
  </si>
  <si>
    <t>LIVRAISON SITARAIL &amp; SOGB DU 18/06/2018</t>
  </si>
  <si>
    <t>FRAIS DE TAXIS DU 11 AU 16 JUIN 2018</t>
  </si>
  <si>
    <t>VENTES AU COMPTANT DU 16&amp;18/06/2018</t>
  </si>
  <si>
    <t>ACHAT DE ROULEAU DE CABLE ET OUTILS DE FIXATION(TV)</t>
  </si>
  <si>
    <t>VENTES AU COMPTANT DU 19/06/2018</t>
  </si>
  <si>
    <t>CARBURANT VEHICULE</t>
  </si>
  <si>
    <t>REGLEMENT FACTURE FLOTTE MOOV - MOIS MAI</t>
  </si>
  <si>
    <t>ACHAT CADENAS - MAGASIN</t>
  </si>
  <si>
    <t>CONFECTIONNEMENT D'ETAGERE - MAGASIN</t>
  </si>
  <si>
    <t>VENTES AU COMPTANT DU 20/06/2018</t>
  </si>
  <si>
    <t>ENTRETIEN MOTO - RIMCO</t>
  </si>
  <si>
    <t>ABONNEMENT CANAL+</t>
  </si>
  <si>
    <t>VENTES AU COMPTANT DU 21/06/2018</t>
  </si>
  <si>
    <t>ACHAT PARABOLE CANAL+ ET INSTALLATION</t>
  </si>
  <si>
    <t>VENTES AU COMPTANT DU 22/06/2018</t>
  </si>
  <si>
    <t>REPARATION ET ENTRETIEN DU MOTO</t>
  </si>
  <si>
    <t>ETANCHEITE - MAGASIN</t>
  </si>
  <si>
    <t>FRAIS DE TAXIS DU 18 AU 23 JUIN 2018</t>
  </si>
  <si>
    <t>ACHAT DE BARRE FER &amp; MAIN D'ŒUVRE</t>
  </si>
  <si>
    <t>VENTES AU COMPTANT DU 26/06/2018</t>
  </si>
  <si>
    <t>REPARATION ET RECHARGE D'HUILE TRANSPALETTE - ECHAP DG</t>
  </si>
  <si>
    <t>KAS CONSTRUCTION - MAIN D'ŒUVRE</t>
  </si>
  <si>
    <t>REGLEMENT FACTURE DIVERSES PCM</t>
  </si>
  <si>
    <t>EAU - LAVIVA</t>
  </si>
  <si>
    <t>VENTES AU COMPTANT DU 27/06/2018</t>
  </si>
  <si>
    <t>RELIURE BILAN</t>
  </si>
  <si>
    <t>ACHAT - PAPIGRAH</t>
  </si>
  <si>
    <t>CLEF MINUTE - IMS</t>
  </si>
  <si>
    <t>REGLEMENT FACTURE MOOV - MOIS JUILLET</t>
  </si>
  <si>
    <t xml:space="preserve">REGLEMENT FACTURE E.I.E.E </t>
  </si>
  <si>
    <t>VENTES AU COMPTANT DU 28/06/2018</t>
  </si>
  <si>
    <t xml:space="preserve">KAS CONSTRUCTION </t>
  </si>
  <si>
    <t>RECHARGEMENT CARTE TOTAL - MOTO</t>
  </si>
  <si>
    <t>VENTES AU COMPTANT DU 29/06</t>
  </si>
  <si>
    <t>PRIME DE STAGE - JEAN DANIEL MOIS DE JUIN</t>
  </si>
  <si>
    <t>REPORT JUIN 2018</t>
  </si>
  <si>
    <t>AVANCE SUR SALAIRE MOIS DE JUILLET - SENOU BI</t>
  </si>
  <si>
    <t>TRAVAIL MENUISERIE - ETAGERES MAGASIN</t>
  </si>
  <si>
    <t>FRAIS DE TAXIS DU 25 AU 30 JUIN 2018</t>
  </si>
  <si>
    <t>VENTES AU COMPTANT DU 30/06</t>
  </si>
  <si>
    <t>SOLDE FACTURE 887 - SIF PLAST</t>
  </si>
  <si>
    <t>PRÊT - JILUS</t>
  </si>
  <si>
    <t>ACHAT CARTE ORANGE</t>
  </si>
  <si>
    <t>VENTES AU COMPTANT DU 02/07/2018</t>
  </si>
  <si>
    <t>CAMBRIOLAGE DES BUREAUX</t>
  </si>
  <si>
    <t>RGT FACTURES DIVERSES - ETS AUDIS</t>
  </si>
  <si>
    <t>VENTES AU COMPTANT DU 04/07/2018</t>
  </si>
  <si>
    <t>VENTES AU COMPTANT DU 05 ET 06/07/2018</t>
  </si>
  <si>
    <t>LE RALLYE - SPIE FONDATIONS</t>
  </si>
  <si>
    <t>FRAIS DE TAXI DU 02/07 AU 07/07/2018</t>
  </si>
  <si>
    <t>GRILLE BUREAUX - KAS CONSTRUCTION</t>
  </si>
  <si>
    <t>ORANGE MONEY - MAMMY WATTA</t>
  </si>
  <si>
    <t>ENTRETIEN MOTO</t>
  </si>
  <si>
    <t>VENTES AU COMPTANT DU 09/07/2018</t>
  </si>
  <si>
    <t>VENTES AU COMPTANT DU 10/07/2018</t>
  </si>
  <si>
    <t>ACHAT DMD</t>
  </si>
  <si>
    <t>DROIT DE PARTICIPATION - CFACI</t>
  </si>
  <si>
    <t>RELIURE - MARIE LAURE</t>
  </si>
  <si>
    <t>VENTES AU COMPTANT DU 11/07/2018</t>
  </si>
  <si>
    <t>RESTAURATION CLIENT - FRIEDLANDER</t>
  </si>
  <si>
    <t>LE RALLYE - EIFFAGE</t>
  </si>
  <si>
    <t>VENTES AU COMPTANT DU 12/07/2018</t>
  </si>
  <si>
    <t>RESTAURATION CLIENT - CIMAF</t>
  </si>
  <si>
    <t>RESTAURATION CLIENT - SONACO</t>
  </si>
  <si>
    <t xml:space="preserve">AVANCE SUR SALAIRE - KONAN GASTON </t>
  </si>
  <si>
    <t>AVANECE SUR SALAIRE - MOCKE JUDICAEL</t>
  </si>
  <si>
    <t>VENTES AU COMPTANT DU 13/07/2018</t>
  </si>
  <si>
    <t>FRAIS DE TAXIS DU 09 AU 14/07/2018</t>
  </si>
  <si>
    <t>VENTES AU COMPTANT DU 14/07/2018</t>
  </si>
  <si>
    <t>ENTRETIEN AUTO</t>
  </si>
  <si>
    <t>TRAVAUX PORTES BUREAU - MAçONNERIE</t>
  </si>
  <si>
    <t>TRAVAUX PORTES BUREAU - MENUISERIE</t>
  </si>
  <si>
    <t>VENTE AU COMPTANT DU 17/07/2018</t>
  </si>
  <si>
    <t>RESTAURATION CLIENT - SOLIBRA</t>
  </si>
  <si>
    <t>REGLEMENT FACTURE - SODECI</t>
  </si>
  <si>
    <t>VENTES AU COMPTANT DU 18/07/2018</t>
  </si>
  <si>
    <t>VENTES AU COMPTANT DU 19/07/2018</t>
  </si>
  <si>
    <t>PEAGE ROUTE YAKRO</t>
  </si>
  <si>
    <t>ACHAT -  SOCOCE</t>
  </si>
  <si>
    <t>ACHAT - PAPIGRAPH</t>
  </si>
  <si>
    <t>REGLEMENT FACTURE - E.I.E.E</t>
  </si>
  <si>
    <t>ENTRETIEN - MOTO</t>
  </si>
  <si>
    <t>FRAIS DE TAXIS DU 16 AU 21/07/2018</t>
  </si>
  <si>
    <t>AVANCE SUR SALAIRE - MOCKE JUDICAEL</t>
  </si>
  <si>
    <t>TRAVAUX - PLOMBERIE</t>
  </si>
  <si>
    <t>VENTES AU COMPTANT DU 23/07/2018</t>
  </si>
  <si>
    <t>REGLEMENT FACTURE - MOOV</t>
  </si>
  <si>
    <t>VENTES AU COMPTANT DU 24/07/2018</t>
  </si>
  <si>
    <t>RELIQUAT FACTURE 01204 - CAPRACI</t>
  </si>
  <si>
    <t>VENTES AU COMPTANT DU 25/07/2018</t>
  </si>
  <si>
    <t>LAVAGE AUTO</t>
  </si>
  <si>
    <t>VENTE AU COMPTANT DU 26/07/2018</t>
  </si>
  <si>
    <t>PROSPECTION - SENOU BI</t>
  </si>
  <si>
    <t>CERTIFICAT DE RESIDENCE - BICICI</t>
  </si>
  <si>
    <t>FRAIS DE TAXIS - SEMAINE DU 23 AU 28/07/2018</t>
  </si>
  <si>
    <t>REGLEMENT SALAIRE JUILLET 2018 - JEAN DANIEL AHOULE</t>
  </si>
  <si>
    <t>VENTES AU COMPTANT DU 30/07/2018</t>
  </si>
  <si>
    <t>VENTES AU COMPTANT DU 31/07/2018</t>
  </si>
  <si>
    <t>REPORT JUILLET 2018</t>
  </si>
  <si>
    <t>REMBOURSEMENT PRÊT - JILUS BAMBA</t>
  </si>
  <si>
    <t>ACHATS DIVERS - SOCOCE ZONE 3</t>
  </si>
  <si>
    <t>ACHATS DIVERS - COQIVOIRE</t>
  </si>
  <si>
    <t>SOLDE - MAMMY WATA</t>
  </si>
  <si>
    <t>HOTEL HIRE</t>
  </si>
  <si>
    <t>GONFLAGE ROUES JIMNY</t>
  </si>
  <si>
    <t>PEAGE AUTOROUTE</t>
  </si>
  <si>
    <t>RESTAURATION ENDEAVOUR</t>
  </si>
  <si>
    <t>DIVERS FRAIS DE MISSION</t>
  </si>
  <si>
    <t>ACHAT FOURNITURES - CHEVALIER</t>
  </si>
  <si>
    <t>REPORT AOÛT 2018</t>
  </si>
  <si>
    <t>VENTES AU COMPTANT DU 01/08/2018</t>
  </si>
  <si>
    <t>ACHAT - SIVMAT</t>
  </si>
  <si>
    <t>MANUTENTION - HYSTER</t>
  </si>
  <si>
    <t xml:space="preserve">AVANCE SUR SALAIRE - SENOU BI </t>
  </si>
  <si>
    <t>VENTES AU COMPTANT DU 02/08/2018</t>
  </si>
  <si>
    <t>FRAIS DE TAXIS - SEMAINE DU 01 AU 04/08/2018</t>
  </si>
  <si>
    <t xml:space="preserve">PONT A PEAGE </t>
  </si>
  <si>
    <t>CARBURANT - AUTO</t>
  </si>
  <si>
    <t>ACHAT DU CODE GENERAL DES IMPÔTS 2018</t>
  </si>
  <si>
    <t>VENTES AU COMPTANT DU 03,08 ET 09/08/2018</t>
  </si>
  <si>
    <t>FRAIS DE TAXIS - SEMAINE DU 06 AU 11/08/2018</t>
  </si>
  <si>
    <t>RESTAURATION CLIENT - GEMA CI</t>
  </si>
  <si>
    <t>VENTES AU COMPTANT DU 10&amp;13/08/18</t>
  </si>
  <si>
    <t>VENTES AU COMPTANT DU 14/08/18</t>
  </si>
  <si>
    <t>REGLEMENT FACTURE - SIF PLAST CI FA N° 01202, 01345 &amp; 01333</t>
  </si>
  <si>
    <t>REGLEMENT CHEQUE IMPAYE</t>
  </si>
  <si>
    <t>VENTES AU COMPTANT DU 17/08/2018</t>
  </si>
  <si>
    <t>FRAIS DE TAXIS - SEMAINE DU 13 AU 18/08/2018</t>
  </si>
  <si>
    <t>PRÊT SUR SALAIRE - MOCKE JUDICAEL</t>
  </si>
  <si>
    <t>VENTES AU COMPTANT DU 20/08/2018</t>
  </si>
  <si>
    <t>VENTES AU COMPTANT DU 22/08/2018</t>
  </si>
  <si>
    <t>SORITIE DE CAISSE - VERSEMENT D'ESPECES</t>
  </si>
  <si>
    <t>CLEF MINUTE - ITEX SARL</t>
  </si>
  <si>
    <t>VENTES AU COMPTANT DU 23 &amp; 24/08/2018</t>
  </si>
  <si>
    <t xml:space="preserve">FRAIS DE TAXIS - SEMAINE DU 20 AU 25/08/2018 </t>
  </si>
  <si>
    <t xml:space="preserve"> </t>
  </si>
  <si>
    <t>REGLEMENT FACTURE E.I.E.E</t>
  </si>
  <si>
    <t>VENTES AU COMPTANT DU 28 &amp; 29/08/18</t>
  </si>
  <si>
    <t>RESTAURATION CLIENT - ABEILLE CARRIERE</t>
  </si>
  <si>
    <t>VENTES AU COMPTANT DU 30/08/2018</t>
  </si>
  <si>
    <t>REGLEMENT SALAIRE MOIS AOUT - JEAN DANIEL AHOULE</t>
  </si>
  <si>
    <t>REGLEMENT SALAIRE MOIS AOUT - GUE DROH</t>
  </si>
  <si>
    <t>VENTES AU COMPTANT DU 31/08/2018</t>
  </si>
  <si>
    <t>FRAIS DE TAXIS - SEMAINE DU 27 AU 31/08/2018</t>
  </si>
  <si>
    <t>RECHARGES - ORANGE</t>
  </si>
  <si>
    <t>RECHARGE CARTE TOTAL - MOTO</t>
  </si>
  <si>
    <t>RECHARGE CARTE TOTAL - AUTO</t>
  </si>
  <si>
    <t>AVOIR - OPPORTUNITY</t>
  </si>
  <si>
    <t>VENTES AU COMPTANT DU 01/09</t>
  </si>
  <si>
    <t>REGLEMENT FACTURE INTERNET ORANGE</t>
  </si>
  <si>
    <t>RESTAURATION - CI THERM</t>
  </si>
  <si>
    <t>VENTES AU COMPTANT DU 03/09</t>
  </si>
  <si>
    <t>PRÊT SCOLAIRE - GASTON KONAN</t>
  </si>
  <si>
    <t>VENTES AU COMPTANT DU 04/09/2018</t>
  </si>
  <si>
    <t>VENTES AU COMPTANT DU 05/09/2018</t>
  </si>
  <si>
    <t>FRAIS DHL - CAMEROUN</t>
  </si>
  <si>
    <t>REGLEMENT FACT 01332 - SIF PLAST CI</t>
  </si>
  <si>
    <t>VENTES AU COMPTANT DU 06/09/2018</t>
  </si>
  <si>
    <t>PRÊT SCOLAIRE - SENOU BI</t>
  </si>
  <si>
    <t>FRAIS DE TAXIS - SEMAINE DU 03 AU 08/09/2018</t>
  </si>
  <si>
    <t>PRÊT SCOLAIRE - TANOH</t>
  </si>
  <si>
    <t>VENTES AU COMPTANT DU 10/09/2018</t>
  </si>
  <si>
    <t>ACHAT PAPIER RAME</t>
  </si>
  <si>
    <t>VENTES AU COMPTANT DU 11/09/2018</t>
  </si>
  <si>
    <t>VENTES AU COMPTANT DU 12/09/2018</t>
  </si>
  <si>
    <t>RELIURES</t>
  </si>
  <si>
    <t>VENTES AU COMPTANT DU 13/09/2018</t>
  </si>
  <si>
    <t>AVANCE SUR SALAIRE - SENOU BI</t>
  </si>
  <si>
    <t>ACHAT - SOCOCE</t>
  </si>
  <si>
    <t>CAUTION MAISON - GERMAIN DROH</t>
  </si>
  <si>
    <t>AVANCE SUR SALAIRE - JUDICAEL MOCKE</t>
  </si>
  <si>
    <t>VENTES AU COMPTANT DU 14/09/2018</t>
  </si>
  <si>
    <t>FRAIS DE TAXIS - SEMAINE DU 10 AU 15/09/2018</t>
  </si>
  <si>
    <t>VENTES AU COMPTANT DU 17/09/2018</t>
  </si>
  <si>
    <t>RECHARGEMENT TOTAL - MOTO</t>
  </si>
  <si>
    <t>ACOMPTE SUR SALIRE - AHONON TANOH</t>
  </si>
  <si>
    <t>RESTAURATION - CLIENT CIMAF</t>
  </si>
  <si>
    <t>VENTES AU COMPTANT DU 18/09/2018</t>
  </si>
  <si>
    <t>REGLEMENT FACTURE EIEE - MOIS 08/18</t>
  </si>
  <si>
    <t>ACHAT CARTE CI</t>
  </si>
  <si>
    <t>COCKTAIL</t>
  </si>
  <si>
    <t>REGLEMENT FACTURE NORMALISEE</t>
  </si>
  <si>
    <t>VENTES AU COMPTANT DU 24&amp;25/09/2018</t>
  </si>
  <si>
    <t>ACOMPTE SUR SALIRE - AHOULE JEAN DANIEL</t>
  </si>
  <si>
    <t>PENALITE SABOT</t>
  </si>
  <si>
    <t>CARBURANT - JIMNY</t>
  </si>
  <si>
    <t>RECHARGEMENT TOTAL - AUTO</t>
  </si>
  <si>
    <t>FRAIS DE TAXIS - SEMAINE DU 17 AU 22/09/2018</t>
  </si>
  <si>
    <t>VENTES AU COMPTANT DU 21/09/2018</t>
  </si>
  <si>
    <t>AVANCE SUR SALAIRE BOUDIER - SEMPTEMBRE 2018</t>
  </si>
  <si>
    <t>TRAVAUX BUREAU - ELECTRICITE</t>
  </si>
  <si>
    <t>TRAVAUX MAGASIN - ELECTRICITE</t>
  </si>
  <si>
    <t>VENTES AU COMPTANT DU 19/08/2018</t>
  </si>
  <si>
    <t>REGLEMENT FACTURE OPHIR GRAPHIC</t>
  </si>
  <si>
    <t>REGLEMENT OPHIR GRAPHIC</t>
  </si>
  <si>
    <t>VENTES AU COMPTANT DU 26&amp;27/09/2018</t>
  </si>
  <si>
    <t>VENTES AU COMPTANT DU 28&amp;29/09/2018</t>
  </si>
  <si>
    <t>FRAIS DE TAXIS - DU 24 AU 29/09/2018</t>
  </si>
  <si>
    <t>REPARATION PNEU - MOTO</t>
  </si>
  <si>
    <t>APPORT CAISSE DU 07/09</t>
  </si>
  <si>
    <t>DEPOT ESPECES DU 19/09</t>
  </si>
  <si>
    <t>REPORT SEPTEMBRE 2018</t>
  </si>
  <si>
    <t>LAISSER-PASSER - IRES</t>
  </si>
  <si>
    <t>REGLEMENT SALAIRE GUEH DROH - 09/18</t>
  </si>
  <si>
    <t>VENTES AU COMPTANT DU 01/10/2018</t>
  </si>
  <si>
    <t>REGLEMENT SALAIRE AHOULE - 09/18</t>
  </si>
  <si>
    <t>VENTES AU COMPTANT DU 03/10/2018</t>
  </si>
  <si>
    <t>VENTES AU COMPTANT DU 04/10/2018</t>
  </si>
  <si>
    <t>VENTES AU COMPTANT DU 05/10/2018</t>
  </si>
  <si>
    <t>FRAIS DE TAXIS - DU 01 AU 06/10/2018</t>
  </si>
  <si>
    <t>ACOMPTE SENOU BI - MOIS 10/18</t>
  </si>
  <si>
    <t>REGLEMENT FACTURE INTERNET</t>
  </si>
  <si>
    <t>REGLEMENT FACTURE MOOV</t>
  </si>
  <si>
    <t>FACTURE MGR</t>
  </si>
  <si>
    <t>REPORT OCTOBRE 208</t>
  </si>
  <si>
    <t>VENTES AU COMPTANT DU 08/10/2018</t>
  </si>
  <si>
    <t>REGLEMENT FACTURE EIEE</t>
  </si>
  <si>
    <t>RELIQUAT FACTURE INTERNET</t>
  </si>
  <si>
    <t>VENTES AU COMPTANT DU 09/10/2018</t>
  </si>
  <si>
    <t>ACHAT EAU LAVIVA</t>
  </si>
  <si>
    <t>REGLEMENT FACTURE YARA N° 01681</t>
  </si>
  <si>
    <t>AVANCE SUR SALAIRE DJEBE ARTHUR - 10/18</t>
  </si>
  <si>
    <t>VENTES AU COMPTANT DU 11/10/2018</t>
  </si>
  <si>
    <t>REGLEMENT FACTURE - IPI</t>
  </si>
  <si>
    <t>AVANCE SUR SALAIRE MOCKE JUDICAEL - 10/18</t>
  </si>
  <si>
    <t>VENTES AU COMPTANT DU 15/10/2018</t>
  </si>
  <si>
    <t>COCKTAIL - CCIF</t>
  </si>
  <si>
    <t>VENTES AU COMPTANT DU 17/10/2018</t>
  </si>
  <si>
    <t>VENTES AU COMPTANT DU 18/10/2018</t>
  </si>
  <si>
    <t>RELIURES - BILAN 2015</t>
  </si>
  <si>
    <t>AVANCE SUR SALAIRE KONA GASTON - 10/18</t>
  </si>
  <si>
    <t>FRAIS DE TAXIS DU 15 AU 20/10/2018</t>
  </si>
  <si>
    <t>LAVAGE ET ASPIRATION - AUTO</t>
  </si>
  <si>
    <t>VIDANGE &amp; LAVAGE - MOTO</t>
  </si>
  <si>
    <t>VENTES AU COMPTANT DU 19,20 &amp;22 10/2018</t>
  </si>
  <si>
    <t>VENTES AU COMPTANT DU 23/10/2018</t>
  </si>
  <si>
    <t>RECHARGE CARTE TOTAL (JIMNY)</t>
  </si>
  <si>
    <t>VENTES AU COMPTANT DU 24/10/2018</t>
  </si>
  <si>
    <t>REGLEMENT FACTURE - OPHIR GRAPHIC</t>
  </si>
  <si>
    <t>REGLEMENT PCM</t>
  </si>
  <si>
    <t>VENTES AU COMPTANT DU 25/10/2018</t>
  </si>
  <si>
    <t>REGLEMENT FACTURE MOOV - 10/18</t>
  </si>
  <si>
    <t>FRAIS DE TAXIS DU 22 AU 27/10/2018</t>
  </si>
  <si>
    <t>EAU LAVIVA</t>
  </si>
  <si>
    <t>VENTES AU COMPTANT DU 29/10/2018</t>
  </si>
  <si>
    <t>VENTES AU COMPTANT DU 30/10/2018</t>
  </si>
  <si>
    <t>REGLEMENT SALAIRE GUE DROH - 10/18</t>
  </si>
  <si>
    <t>REGLEMENT SALAIRE DJEBE ARTHUR - 10/18</t>
  </si>
  <si>
    <t>FRAIS DE TAXIS DU 29 AU 31/10/2018</t>
  </si>
  <si>
    <t>VENTES AU COMPTANT DU 31/10/2018</t>
  </si>
  <si>
    <t>REPORT NOVEMBRE 2018</t>
  </si>
  <si>
    <t>VENTES AU COMPTANT DU 02/11/2018</t>
  </si>
  <si>
    <t>FRAIS DE TAXIS DU 02 AU 03/11/2018</t>
  </si>
  <si>
    <t>REGLEMENT FACTURE INTERNET - 11/18</t>
  </si>
  <si>
    <t>ACHATS CARTES ORANGE - 11/18</t>
  </si>
  <si>
    <t>VENTES DU  COMPTANT DU 06/11/2018</t>
  </si>
  <si>
    <t>VENTES AU COMPTANT DU 07/11/2018</t>
  </si>
  <si>
    <t>REGLEMENT FACT N°01994 - SOUDOTEC</t>
  </si>
  <si>
    <t>ACHAT DE BROSSE + GRILLAGE</t>
  </si>
  <si>
    <t>REGLEMENT FACTURE EIEE - 10/18</t>
  </si>
  <si>
    <t>REPARATION - TRAVAUX MENUISERIE</t>
  </si>
  <si>
    <t>LAVAGE ET VIDANGE - MOTO</t>
  </si>
  <si>
    <t>VISITE SIETTA</t>
  </si>
  <si>
    <t>ETABLISSEMENT DE PERMIS DE CONDUIRE</t>
  </si>
  <si>
    <t>VENTES AU COMPTANT DU 09/11/2018</t>
  </si>
  <si>
    <t>FRAIS DE TAXIS DU 05 AU 10/11/2018</t>
  </si>
  <si>
    <t>REGLEMENT FACTURE N° 01865 - NG PAGANI</t>
  </si>
  <si>
    <t>ACOMPTE  SENOU BI - 11/18</t>
  </si>
  <si>
    <t>ACHATS SOCOCE - 11/18</t>
  </si>
  <si>
    <t>ACHATS PAPIGRAPH - 11/18</t>
  </si>
  <si>
    <t>ACOMPTE  KONAN GASTON - 11/18</t>
  </si>
  <si>
    <t>VENTES AU COMPTANT DU 11/11/2018</t>
  </si>
  <si>
    <t>CONVENTION COMPTE COURANT ASSOCIÉ</t>
  </si>
  <si>
    <t>RELIURES DOCUMENTS</t>
  </si>
  <si>
    <t>VENTES AU COMPTANT DU 13/11/2018</t>
  </si>
  <si>
    <t>REGLEMENT FACTURE PCM</t>
  </si>
  <si>
    <t>REGLEMENT FACT N°01922 - SIF PLAST CI</t>
  </si>
  <si>
    <t>RECHARGEMENT CARTE TOTAL - AUTO</t>
  </si>
  <si>
    <t>VENNTES AU COMPTANT DU 16/11/2018</t>
  </si>
  <si>
    <t>VENTES AU COMPTANT DU 17/11/2018</t>
  </si>
  <si>
    <t>FRAIS DE TAXIS - DU 12 AU 17/11/2018</t>
  </si>
  <si>
    <t>REGLEMENT FACTURE MOOV - 12/18</t>
  </si>
  <si>
    <t>SOLDE TEE-SCHIRT 2018</t>
  </si>
  <si>
    <t>AVANCE SUR SALAIRE KONAN GASTON - 11/18</t>
  </si>
  <si>
    <t>VENTES AU COMPTANT DU 19 &amp; 21/11/2018</t>
  </si>
  <si>
    <t>VENTES AU COMPTANT DU 22 &amp; 23/11/2018</t>
  </si>
  <si>
    <t>FRAIS DE TAXIS - DU 12 AU 24/11/2018</t>
  </si>
  <si>
    <t>ACHAT KITS COMMERCIAL</t>
  </si>
  <si>
    <t>VENTES AU COMPTANT DU 26/11/2018</t>
  </si>
  <si>
    <t>REGLEMENT E.I.E.E 11/18</t>
  </si>
  <si>
    <t>REGLEMENT SALAIRE GUE DROH - 11/18</t>
  </si>
  <si>
    <t>VENTES AU COMPTANT DU 28/11/2018</t>
  </si>
  <si>
    <t>REGLEMENT FACTURE AIRONE</t>
  </si>
  <si>
    <t>VENTES AU COMPTANT DU 29 &amp; 30 /11/2018</t>
  </si>
  <si>
    <t>FRAIS DE TAXIS DU 26 AU 30/11/2018</t>
  </si>
  <si>
    <t>FACTURE MANCI</t>
  </si>
  <si>
    <t>REGLEMENT SALAIRE DJEBE ARTHUR - 11/18</t>
  </si>
  <si>
    <t>FACTURE OPHIR GRAPHIC</t>
  </si>
  <si>
    <t xml:space="preserve"> REGLEMENT FACTURE PCM</t>
  </si>
  <si>
    <t>REGLEMENT FACTURE N° 02070 - ATN</t>
  </si>
  <si>
    <t>VENTES AU COMPTANT DU 01 &amp; 02/12/2018</t>
  </si>
  <si>
    <t>ACHATS CARTES ORANGE - 12/18</t>
  </si>
  <si>
    <t>ACHAT TELEPHONE MOBILE</t>
  </si>
  <si>
    <t>FOURNITURES BERNABE</t>
  </si>
  <si>
    <t>CONFECTION ET INSTALLATION MAGASIN - CMAPS</t>
  </si>
  <si>
    <t>VIDANGE &amp; ENTRETIEN - MOTO</t>
  </si>
  <si>
    <t>ENTRETIEN CLIM</t>
  </si>
  <si>
    <t>ENTRETIEN - AUTO</t>
  </si>
  <si>
    <t>ACHAT AMPOULE - AUTO</t>
  </si>
  <si>
    <t>VISITE TECHNIQUE - SGS</t>
  </si>
  <si>
    <t>VENTES AU COMPTANT DU 04/12/2018</t>
  </si>
  <si>
    <t xml:space="preserve">MANUTENTION HYSTER </t>
  </si>
  <si>
    <t>VENTES AU COMPTANT DU 05/12/2018</t>
  </si>
  <si>
    <t>ACHAT PNEU GT RADIAL - GAS</t>
  </si>
  <si>
    <t>REPARATION - MOTO</t>
  </si>
  <si>
    <t>REPARATION - AUTO</t>
  </si>
  <si>
    <t>FRAIS DE TAXIS - DU 03 AU 08/12/2018</t>
  </si>
  <si>
    <t>ACHAT - CFAO</t>
  </si>
  <si>
    <t>ACOMPTE SENOU BI - 12/18</t>
  </si>
  <si>
    <t>ACHAT CAFE - SOCOCE</t>
  </si>
  <si>
    <t>RESTAURATION CLIENT - SAPH</t>
  </si>
  <si>
    <t>ENREGISTREMENT AG 2017</t>
  </si>
  <si>
    <t>REGLEMENT FACTURE - SIF PLAST CI</t>
  </si>
  <si>
    <t>AVANCE SUR SALAIRE KONAN GASTON - 12/18</t>
  </si>
  <si>
    <t>VENTES AU COMPTANT DU 06 &amp; 07/12/2018</t>
  </si>
  <si>
    <t>VENTES AU COMPTANT DU 08 &amp; 10/12/2018</t>
  </si>
  <si>
    <t>VENTES AU COMPTANT DU 11/12/2018</t>
  </si>
  <si>
    <t>VENTES AU COMPTANT DU 12/12/2018</t>
  </si>
  <si>
    <t>ACHAT ADAPTATEUR - DMEIB</t>
  </si>
  <si>
    <t>DECLARATION DE PERTE PIECES - AUTO</t>
  </si>
  <si>
    <t>FACTURE PCM</t>
  </si>
  <si>
    <t>FACTURE PAGANI - FACT 02253</t>
  </si>
  <si>
    <t>VENTES AU COMPTANT DU 13/12/2018</t>
  </si>
  <si>
    <t>VENTES AU COMPTANT DU 14&amp;15/12/2018</t>
  </si>
  <si>
    <t>FRAIS DE TAXIS - SEMAINE DU 10 AU15/12/2018</t>
  </si>
  <si>
    <t>ACHAT - CACOMIAF</t>
  </si>
  <si>
    <t>AVANCE SUR SALAIRE DJEBE ARTHUR - 12/18</t>
  </si>
  <si>
    <t>REGLEMENT DIVERSES FACTURES</t>
  </si>
  <si>
    <t>VENTES AU COMPTANT DU 17&amp;18/12/2018</t>
  </si>
  <si>
    <t>DUPLICATA CONTRÔLE TECHNIQUE - SGS</t>
  </si>
  <si>
    <t>RESTAURATION - TENTE</t>
  </si>
  <si>
    <t>LAVAGE - MOTO</t>
  </si>
  <si>
    <t>DUPLICATA ASSURANCE - AUTO</t>
  </si>
  <si>
    <t>FACTURE MOOV - 12/18</t>
  </si>
  <si>
    <t>LAVER &amp; ASPIRER</t>
  </si>
  <si>
    <t>VENTES AU COMPTANT DU 19 &amp; 20/12/2018</t>
  </si>
  <si>
    <t>FRAIS DE TAXIS - DU 17 AU 22/12/2018</t>
  </si>
  <si>
    <t>GRATIFICATION DE FIN D'ANNEE - GUE DROH</t>
  </si>
  <si>
    <t>FACTURE E.I.E.E</t>
  </si>
  <si>
    <t>CONGE ANNUEL - KONAN GASTON</t>
  </si>
  <si>
    <t>VENTES AU COMPTANT DU 21 &amp; 24/12/2018</t>
  </si>
  <si>
    <t>SALAIRE GUE DROH - 12/18</t>
  </si>
  <si>
    <t>GRATIFICATION DE FIN D'ANNEE - AHOULE JEAN DANIEL</t>
  </si>
  <si>
    <t>SALAIRE DJEBE ARTHUR - 12/18</t>
  </si>
  <si>
    <t>VENTE AU COMPTANT DU 26/12/2018</t>
  </si>
  <si>
    <t>VENTE AU COMPTANT DU 27/12/2018</t>
  </si>
  <si>
    <t>VENTE AU COMPTANT DU 28/12/2018</t>
  </si>
  <si>
    <t>VENTE AU COMPTANT DU 29/12/2018</t>
  </si>
  <si>
    <t>PRÊT AHONON TANOH</t>
  </si>
</sst>
</file>

<file path=xl/styles.xml><?xml version="1.0" encoding="utf-8"?>
<styleSheet xmlns="http://schemas.openxmlformats.org/spreadsheetml/2006/main">
  <numFmts count="1">
    <numFmt numFmtId="164" formatCode="_-* #,##0\ _C_F_A_-;\-* #,##0\ _C_F_A_-;_-* &quot;-&quot;\ _C_F_A_-;_-@_-"/>
  </numFmts>
  <fonts count="4"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164" fontId="0" fillId="0" borderId="3" xfId="0" applyNumberFormat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left"/>
    </xf>
    <xf numFmtId="164" fontId="0" fillId="0" borderId="4" xfId="0" applyNumberFormat="1" applyFill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" fontId="0" fillId="0" borderId="1" xfId="0" applyNumberFormat="1" applyBorder="1" applyAlignment="1">
      <alignment horizontal="center" vertical="center"/>
    </xf>
    <xf numFmtId="0" fontId="0" fillId="0" borderId="0" xfId="0" applyFill="1"/>
    <xf numFmtId="164" fontId="0" fillId="0" borderId="3" xfId="0" applyNumberForma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16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right" vertical="center"/>
    </xf>
    <xf numFmtId="16" fontId="0" fillId="0" borderId="3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0" fillId="0" borderId="0" xfId="0" applyAlignment="1">
      <alignment horizontal="left" vertical="center"/>
    </xf>
    <xf numFmtId="3" fontId="0" fillId="0" borderId="0" xfId="0" applyNumberFormat="1"/>
    <xf numFmtId="0" fontId="0" fillId="0" borderId="0" xfId="0" applyFill="1" applyAlignment="1">
      <alignment horizontal="left" vertical="center"/>
    </xf>
    <xf numFmtId="16" fontId="0" fillId="0" borderId="2" xfId="0" applyNumberFormat="1" applyFill="1" applyBorder="1" applyAlignment="1">
      <alignment horizontal="center"/>
    </xf>
    <xf numFmtId="16" fontId="0" fillId="0" borderId="0" xfId="0" applyNumberFormat="1"/>
    <xf numFmtId="16" fontId="0" fillId="0" borderId="2" xfId="0" applyNumberFormat="1" applyBorder="1" applyAlignment="1">
      <alignment horizontal="center"/>
    </xf>
    <xf numFmtId="3" fontId="0" fillId="0" borderId="2" xfId="0" applyNumberFormat="1" applyBorder="1"/>
    <xf numFmtId="164" fontId="0" fillId="0" borderId="2" xfId="0" applyNumberFormat="1" applyBorder="1"/>
    <xf numFmtId="164" fontId="0" fillId="0" borderId="2" xfId="0" applyNumberFormat="1" applyFill="1" applyBorder="1" applyAlignment="1">
      <alignment horizontal="right"/>
    </xf>
    <xf numFmtId="164" fontId="0" fillId="0" borderId="2" xfId="0" applyNumberFormat="1" applyBorder="1" applyAlignment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3" fontId="0" fillId="0" borderId="0" xfId="0" applyNumberFormat="1" applyBorder="1"/>
    <xf numFmtId="3" fontId="0" fillId="0" borderId="2" xfId="0" applyNumberFormat="1" applyFill="1" applyBorder="1"/>
    <xf numFmtId="3" fontId="0" fillId="0" borderId="3" xfId="0" applyNumberFormat="1" applyBorder="1"/>
    <xf numFmtId="16" fontId="0" fillId="4" borderId="2" xfId="0" applyNumberFormat="1" applyFill="1" applyBorder="1" applyAlignment="1">
      <alignment horizontal="center" vertical="center"/>
    </xf>
    <xf numFmtId="0" fontId="0" fillId="4" borderId="2" xfId="0" applyFill="1" applyBorder="1"/>
    <xf numFmtId="3" fontId="0" fillId="4" borderId="2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9"/>
  <sheetViews>
    <sheetView topLeftCell="A47" zoomScaleNormal="100" workbookViewId="0">
      <selection activeCell="B2" sqref="B2:F68"/>
    </sheetView>
  </sheetViews>
  <sheetFormatPr baseColWidth="10" defaultRowHeight="15"/>
  <cols>
    <col min="2" max="2" width="8.85546875" customWidth="1"/>
    <col min="3" max="3" width="14.42578125" customWidth="1"/>
    <col min="4" max="4" width="48.140625" customWidth="1"/>
    <col min="5" max="5" width="18.5703125" customWidth="1"/>
    <col min="6" max="6" width="14.5703125" customWidth="1"/>
    <col min="9" max="9" width="14.140625" bestFit="1" customWidth="1"/>
  </cols>
  <sheetData>
    <row r="2" spans="2:11">
      <c r="B2" s="2" t="s">
        <v>0</v>
      </c>
      <c r="C2" s="3" t="s">
        <v>1</v>
      </c>
      <c r="D2" s="2" t="s">
        <v>2</v>
      </c>
      <c r="E2" s="4" t="s">
        <v>3</v>
      </c>
      <c r="F2" s="4" t="s">
        <v>4</v>
      </c>
      <c r="G2" s="5"/>
      <c r="H2" s="5"/>
      <c r="I2" s="5"/>
    </row>
    <row r="3" spans="2:11">
      <c r="B3" s="6">
        <v>43101</v>
      </c>
      <c r="C3" s="7"/>
      <c r="D3" s="8" t="s">
        <v>38</v>
      </c>
      <c r="E3" s="9">
        <v>5323943</v>
      </c>
      <c r="F3" s="9"/>
      <c r="G3" s="1"/>
      <c r="H3" s="1"/>
      <c r="I3" s="1"/>
    </row>
    <row r="4" spans="2:11" ht="15.75">
      <c r="B4" s="10">
        <v>43102</v>
      </c>
      <c r="C4" s="11">
        <v>1801001</v>
      </c>
      <c r="D4" s="16" t="s">
        <v>39</v>
      </c>
      <c r="E4" s="13">
        <f>10900+21576+3658</f>
        <v>36134</v>
      </c>
      <c r="F4" s="13"/>
      <c r="H4" s="1"/>
      <c r="I4" s="1"/>
    </row>
    <row r="5" spans="2:11" ht="15.75">
      <c r="B5" s="14">
        <v>43103</v>
      </c>
      <c r="C5" s="15">
        <v>1801002</v>
      </c>
      <c r="D5" s="12" t="s">
        <v>40</v>
      </c>
      <c r="E5" s="17"/>
      <c r="F5" s="17">
        <v>30000</v>
      </c>
      <c r="H5" s="1"/>
      <c r="I5" s="1"/>
    </row>
    <row r="6" spans="2:11" ht="15.75">
      <c r="B6" s="14">
        <v>43103</v>
      </c>
      <c r="C6" s="11">
        <v>1801003</v>
      </c>
      <c r="D6" s="12" t="s">
        <v>41</v>
      </c>
      <c r="E6" s="17"/>
      <c r="F6" s="17">
        <v>60000</v>
      </c>
      <c r="H6" s="1"/>
      <c r="I6" s="1"/>
    </row>
    <row r="7" spans="2:11" ht="15.75">
      <c r="B7" s="14">
        <v>43103</v>
      </c>
      <c r="C7" s="15">
        <v>1801004</v>
      </c>
      <c r="D7" s="16" t="s">
        <v>42</v>
      </c>
      <c r="E7" s="17"/>
      <c r="F7" s="17">
        <v>15000</v>
      </c>
      <c r="H7" s="1"/>
      <c r="I7" s="1"/>
    </row>
    <row r="8" spans="2:11" ht="15.75">
      <c r="B8" s="14">
        <v>43103</v>
      </c>
      <c r="C8" s="11">
        <v>1801005</v>
      </c>
      <c r="D8" s="16" t="s">
        <v>33</v>
      </c>
      <c r="E8" s="17"/>
      <c r="F8" s="17">
        <v>15000</v>
      </c>
      <c r="H8" s="1"/>
      <c r="I8" s="1"/>
    </row>
    <row r="9" spans="2:11" ht="15.75">
      <c r="B9" s="14">
        <v>43103</v>
      </c>
      <c r="C9" s="15">
        <v>1801006</v>
      </c>
      <c r="D9" s="16" t="s">
        <v>17</v>
      </c>
      <c r="E9" s="17">
        <f>5664+2478+21340</f>
        <v>29482</v>
      </c>
      <c r="F9" s="17"/>
      <c r="H9" s="1"/>
    </row>
    <row r="10" spans="2:11" ht="15.75">
      <c r="B10" s="14">
        <v>43104</v>
      </c>
      <c r="C10" s="11">
        <v>1801007</v>
      </c>
      <c r="D10" s="16" t="s">
        <v>43</v>
      </c>
      <c r="E10" s="17"/>
      <c r="F10" s="17">
        <v>3500</v>
      </c>
      <c r="H10" s="1"/>
      <c r="I10" s="1"/>
    </row>
    <row r="11" spans="2:11" ht="15.75">
      <c r="B11" s="14">
        <v>43104</v>
      </c>
      <c r="C11" s="15">
        <v>1801008</v>
      </c>
      <c r="D11" s="16" t="s">
        <v>44</v>
      </c>
      <c r="E11" s="17">
        <f>6000+4880+4514</f>
        <v>15394</v>
      </c>
      <c r="F11" s="17"/>
      <c r="H11" s="1"/>
      <c r="I11" s="1"/>
    </row>
    <row r="12" spans="2:11" ht="15.75">
      <c r="B12" s="14">
        <v>43105</v>
      </c>
      <c r="C12" s="11">
        <v>1801009</v>
      </c>
      <c r="D12" s="16" t="s">
        <v>19</v>
      </c>
      <c r="E12" s="17">
        <f>57873</f>
        <v>57873</v>
      </c>
      <c r="F12" s="17"/>
      <c r="H12" s="1"/>
    </row>
    <row r="13" spans="2:11" ht="15.75">
      <c r="B13" s="14">
        <v>43106</v>
      </c>
      <c r="C13" s="15">
        <v>1801010</v>
      </c>
      <c r="D13" s="12" t="s">
        <v>40</v>
      </c>
      <c r="E13" s="17"/>
      <c r="F13" s="17">
        <v>40000</v>
      </c>
      <c r="H13" s="1"/>
      <c r="I13" s="1"/>
    </row>
    <row r="14" spans="2:11" ht="15.75">
      <c r="B14" s="14">
        <v>43106</v>
      </c>
      <c r="C14" s="11">
        <v>1801011</v>
      </c>
      <c r="D14" s="16" t="s">
        <v>20</v>
      </c>
      <c r="E14" s="17">
        <f>22668</f>
        <v>22668</v>
      </c>
      <c r="F14" s="17"/>
      <c r="H14" s="1"/>
      <c r="K14" s="1"/>
    </row>
    <row r="15" spans="2:11" ht="15.75">
      <c r="B15" s="14">
        <v>43106</v>
      </c>
      <c r="C15" s="15">
        <v>1801012</v>
      </c>
      <c r="D15" s="16" t="s">
        <v>45</v>
      </c>
      <c r="E15" s="17"/>
      <c r="F15" s="17">
        <v>11000</v>
      </c>
      <c r="H15" s="1"/>
      <c r="I15" s="1"/>
    </row>
    <row r="16" spans="2:11" ht="15.75">
      <c r="B16" s="14">
        <v>43108</v>
      </c>
      <c r="C16" s="11">
        <v>1801013</v>
      </c>
      <c r="D16" s="12" t="s">
        <v>8</v>
      </c>
      <c r="E16" s="17"/>
      <c r="F16" s="17">
        <v>18820</v>
      </c>
      <c r="H16" s="1"/>
      <c r="I16" s="1"/>
    </row>
    <row r="17" spans="2:9" ht="15.75">
      <c r="B17" s="14">
        <v>43108</v>
      </c>
      <c r="C17" s="15">
        <v>1801014</v>
      </c>
      <c r="D17" s="12" t="s">
        <v>46</v>
      </c>
      <c r="E17" s="17"/>
      <c r="F17" s="17">
        <v>4000</v>
      </c>
      <c r="H17" s="1"/>
      <c r="I17" s="1"/>
    </row>
    <row r="18" spans="2:9" ht="15.75">
      <c r="B18" s="14">
        <v>43108</v>
      </c>
      <c r="C18" s="11">
        <v>1801015</v>
      </c>
      <c r="D18" s="12" t="s">
        <v>47</v>
      </c>
      <c r="E18" s="17">
        <f>36885+1003+7624+4720</f>
        <v>50232</v>
      </c>
      <c r="F18" s="17"/>
      <c r="H18" s="1"/>
      <c r="I18" s="1"/>
    </row>
    <row r="19" spans="2:9" ht="15.75">
      <c r="B19" s="14">
        <v>43109</v>
      </c>
      <c r="C19" s="15">
        <v>1801016</v>
      </c>
      <c r="D19" s="12" t="s">
        <v>48</v>
      </c>
      <c r="E19" s="17"/>
      <c r="F19" s="17">
        <v>25000</v>
      </c>
      <c r="H19" s="1"/>
      <c r="I19" s="1"/>
    </row>
    <row r="20" spans="2:9" ht="15.75">
      <c r="B20" s="14">
        <v>43109</v>
      </c>
      <c r="C20" s="11">
        <v>1801017</v>
      </c>
      <c r="D20" s="16" t="s">
        <v>49</v>
      </c>
      <c r="E20" s="17"/>
      <c r="F20" s="17">
        <v>30000</v>
      </c>
      <c r="H20" s="1"/>
      <c r="I20" s="1"/>
    </row>
    <row r="21" spans="2:9" ht="15.75">
      <c r="B21" s="14">
        <v>43109</v>
      </c>
      <c r="C21" s="15">
        <v>1801018</v>
      </c>
      <c r="D21" s="12" t="s">
        <v>50</v>
      </c>
      <c r="E21" s="17">
        <f>40592+100</f>
        <v>40692</v>
      </c>
      <c r="F21" s="17"/>
      <c r="H21" s="1"/>
      <c r="I21" s="1"/>
    </row>
    <row r="22" spans="2:9" ht="15.75">
      <c r="B22" s="14">
        <v>43109</v>
      </c>
      <c r="C22" s="11">
        <v>1801019</v>
      </c>
      <c r="D22" s="16" t="s">
        <v>21</v>
      </c>
      <c r="E22" s="17">
        <f>17092+48495+100+18054+4956</f>
        <v>88697</v>
      </c>
      <c r="F22" s="17"/>
      <c r="H22" s="1"/>
      <c r="I22" s="1"/>
    </row>
    <row r="23" spans="2:9" ht="15.75">
      <c r="B23" s="14">
        <v>43110</v>
      </c>
      <c r="C23" s="15">
        <v>1801020</v>
      </c>
      <c r="D23" s="16" t="s">
        <v>22</v>
      </c>
      <c r="E23" s="17">
        <f>18154+21463+52020+13316</f>
        <v>104953</v>
      </c>
      <c r="F23" s="17"/>
      <c r="H23" s="1"/>
      <c r="I23" s="1"/>
    </row>
    <row r="24" spans="2:9" ht="15.75">
      <c r="B24" s="14">
        <v>43111</v>
      </c>
      <c r="C24" s="11">
        <v>1801021</v>
      </c>
      <c r="D24" s="16" t="s">
        <v>7</v>
      </c>
      <c r="E24" s="17"/>
      <c r="F24" s="17">
        <f>28462+100</f>
        <v>28562</v>
      </c>
      <c r="H24" s="1"/>
      <c r="I24" s="1"/>
    </row>
    <row r="25" spans="2:9" ht="15.75">
      <c r="B25" s="14">
        <v>43111</v>
      </c>
      <c r="C25" s="15">
        <v>1801022</v>
      </c>
      <c r="D25" s="16" t="s">
        <v>23</v>
      </c>
      <c r="E25" s="17">
        <f>7558+7770+100+10325+17092+7463</f>
        <v>50308</v>
      </c>
      <c r="F25" s="17"/>
      <c r="H25" s="1"/>
      <c r="I25" s="1"/>
    </row>
    <row r="26" spans="2:9" ht="15.75">
      <c r="B26" s="14">
        <v>43112</v>
      </c>
      <c r="C26" s="11">
        <v>1801023</v>
      </c>
      <c r="D26" s="16" t="s">
        <v>24</v>
      </c>
      <c r="E26" s="17">
        <f>-12272+15912+16356+7463+4560</f>
        <v>32019</v>
      </c>
      <c r="F26" s="17"/>
      <c r="H26" s="1"/>
      <c r="I26" s="1"/>
    </row>
    <row r="27" spans="2:9" ht="15.75">
      <c r="B27" s="14">
        <v>43113</v>
      </c>
      <c r="C27" s="15">
        <v>1801024</v>
      </c>
      <c r="D27" s="16" t="s">
        <v>25</v>
      </c>
      <c r="E27" s="17">
        <f>4956+11334+24172+3561</f>
        <v>44023</v>
      </c>
      <c r="F27" s="17"/>
      <c r="H27" s="1"/>
      <c r="I27" s="1"/>
    </row>
    <row r="28" spans="2:9" ht="15.75">
      <c r="B28" s="14">
        <v>43113</v>
      </c>
      <c r="C28" s="11">
        <v>1801025</v>
      </c>
      <c r="D28" s="16" t="s">
        <v>51</v>
      </c>
      <c r="E28" s="17"/>
      <c r="F28" s="17">
        <v>5000</v>
      </c>
      <c r="H28" s="1"/>
      <c r="I28" s="1"/>
    </row>
    <row r="29" spans="2:9" ht="15.75">
      <c r="B29" s="14">
        <v>43115</v>
      </c>
      <c r="C29" s="15">
        <v>1801026</v>
      </c>
      <c r="D29" s="12" t="s">
        <v>52</v>
      </c>
      <c r="E29" s="17"/>
      <c r="F29" s="17">
        <v>150000</v>
      </c>
      <c r="H29" s="1"/>
      <c r="I29" s="1"/>
    </row>
    <row r="30" spans="2:9" ht="15.75">
      <c r="B30" s="14">
        <v>43115</v>
      </c>
      <c r="C30" s="11">
        <v>1801027</v>
      </c>
      <c r="D30" s="16" t="s">
        <v>53</v>
      </c>
      <c r="E30" s="17">
        <f>6897+10012+10892+65346</f>
        <v>93147</v>
      </c>
      <c r="F30" s="17"/>
      <c r="H30" s="1"/>
      <c r="I30" s="1"/>
    </row>
    <row r="31" spans="2:9" ht="15.75">
      <c r="B31" s="14">
        <v>43117</v>
      </c>
      <c r="C31" s="15">
        <v>1801028</v>
      </c>
      <c r="D31" s="12" t="s">
        <v>7</v>
      </c>
      <c r="E31" s="17"/>
      <c r="F31" s="17">
        <v>15440</v>
      </c>
      <c r="H31" s="1"/>
      <c r="I31" s="1"/>
    </row>
    <row r="32" spans="2:9" ht="15.75">
      <c r="B32" s="14">
        <v>43117</v>
      </c>
      <c r="C32" s="11">
        <v>1801029</v>
      </c>
      <c r="D32" s="16" t="s">
        <v>54</v>
      </c>
      <c r="E32" s="17"/>
      <c r="F32" s="17">
        <v>6000</v>
      </c>
      <c r="H32" s="1"/>
      <c r="I32" s="1"/>
    </row>
    <row r="33" spans="2:9" ht="15.75">
      <c r="B33" s="14">
        <v>43117</v>
      </c>
      <c r="C33" s="15">
        <v>1801030</v>
      </c>
      <c r="D33" s="12" t="s">
        <v>55</v>
      </c>
      <c r="E33" s="17">
        <f>48338+9811</f>
        <v>58149</v>
      </c>
      <c r="F33" s="17"/>
      <c r="H33" s="1"/>
      <c r="I33" s="1"/>
    </row>
    <row r="34" spans="2:9" ht="15.75">
      <c r="B34" s="14">
        <v>43118</v>
      </c>
      <c r="C34" s="11">
        <v>1801031</v>
      </c>
      <c r="D34" s="16" t="s">
        <v>16</v>
      </c>
      <c r="E34" s="17"/>
      <c r="F34" s="17">
        <v>2000</v>
      </c>
      <c r="H34" s="1"/>
      <c r="I34" s="1"/>
    </row>
    <row r="35" spans="2:9" ht="15.75">
      <c r="B35" s="14">
        <v>43118</v>
      </c>
      <c r="C35" s="15">
        <v>1801032</v>
      </c>
      <c r="D35" s="12" t="s">
        <v>56</v>
      </c>
      <c r="E35" s="17"/>
      <c r="F35" s="17">
        <v>17000</v>
      </c>
      <c r="H35" s="1"/>
      <c r="I35" s="1"/>
    </row>
    <row r="36" spans="2:9" ht="15.75">
      <c r="B36" s="14">
        <v>43118</v>
      </c>
      <c r="C36" s="11">
        <v>1801033</v>
      </c>
      <c r="D36" s="12" t="s">
        <v>36</v>
      </c>
      <c r="E36" s="17"/>
      <c r="F36" s="17">
        <v>1500</v>
      </c>
      <c r="H36" s="1"/>
      <c r="I36" s="1"/>
    </row>
    <row r="37" spans="2:9" ht="15.75">
      <c r="B37" s="14">
        <v>43118</v>
      </c>
      <c r="C37" s="15">
        <v>1801034</v>
      </c>
      <c r="D37" s="12" t="s">
        <v>57</v>
      </c>
      <c r="E37" s="17">
        <f>7774+26848</f>
        <v>34622</v>
      </c>
      <c r="F37" s="17"/>
      <c r="I37" s="1"/>
    </row>
    <row r="38" spans="2:9" ht="15.75">
      <c r="B38" s="14">
        <v>43119</v>
      </c>
      <c r="C38" s="11">
        <v>1801035</v>
      </c>
      <c r="D38" s="12" t="s">
        <v>18</v>
      </c>
      <c r="E38" s="17"/>
      <c r="F38" s="17">
        <v>2500</v>
      </c>
      <c r="H38" s="1"/>
      <c r="I38" s="1"/>
    </row>
    <row r="39" spans="2:9" ht="15.75">
      <c r="B39" s="14">
        <v>43119</v>
      </c>
      <c r="C39" s="15">
        <v>1801036</v>
      </c>
      <c r="D39" s="16" t="s">
        <v>58</v>
      </c>
      <c r="E39" s="17">
        <f>12844+12183+3932</f>
        <v>28959</v>
      </c>
      <c r="F39" s="17"/>
      <c r="I39" s="1"/>
    </row>
    <row r="40" spans="2:9" ht="15.75">
      <c r="B40" s="14">
        <v>43120</v>
      </c>
      <c r="C40" s="11">
        <v>1801037</v>
      </c>
      <c r="D40" s="16" t="s">
        <v>59</v>
      </c>
      <c r="E40" s="17">
        <f>35406</f>
        <v>35406</v>
      </c>
      <c r="F40" s="17"/>
      <c r="I40" s="1"/>
    </row>
    <row r="41" spans="2:9" ht="15.75">
      <c r="B41" s="14">
        <v>43120</v>
      </c>
      <c r="C41" s="15">
        <v>1801038</v>
      </c>
      <c r="D41" s="16" t="s">
        <v>60</v>
      </c>
      <c r="E41" s="17"/>
      <c r="F41" s="17">
        <v>9500</v>
      </c>
      <c r="I41" s="1"/>
    </row>
    <row r="42" spans="2:9" ht="15.75">
      <c r="B42" s="14">
        <v>43120</v>
      </c>
      <c r="C42" s="11">
        <v>1801039</v>
      </c>
      <c r="D42" s="12" t="s">
        <v>40</v>
      </c>
      <c r="E42" s="17"/>
      <c r="F42" s="17">
        <v>15000</v>
      </c>
      <c r="I42" s="1"/>
    </row>
    <row r="43" spans="2:9" ht="15.75">
      <c r="B43" s="14">
        <v>43122</v>
      </c>
      <c r="C43" s="15">
        <v>1801040</v>
      </c>
      <c r="D43" s="16" t="s">
        <v>61</v>
      </c>
      <c r="E43" s="17">
        <v>500000</v>
      </c>
      <c r="F43" s="17"/>
      <c r="I43" s="1"/>
    </row>
    <row r="44" spans="2:9" ht="15.75">
      <c r="B44" s="14">
        <v>43122</v>
      </c>
      <c r="C44" s="11">
        <v>1801041</v>
      </c>
      <c r="D44" s="16" t="s">
        <v>62</v>
      </c>
      <c r="E44" s="17"/>
      <c r="F44" s="17">
        <v>170000</v>
      </c>
      <c r="I44" s="1"/>
    </row>
    <row r="45" spans="2:9" ht="15.75">
      <c r="B45" s="14">
        <v>43122</v>
      </c>
      <c r="C45" s="15">
        <v>1801042</v>
      </c>
      <c r="D45" s="12" t="s">
        <v>11</v>
      </c>
      <c r="E45" s="17"/>
      <c r="F45" s="17">
        <v>2503</v>
      </c>
      <c r="I45" s="1"/>
    </row>
    <row r="46" spans="2:9" ht="15.75">
      <c r="B46" s="14">
        <v>43122</v>
      </c>
      <c r="C46" s="11">
        <v>1801043</v>
      </c>
      <c r="D46" s="16" t="s">
        <v>63</v>
      </c>
      <c r="E46" s="17"/>
      <c r="F46" s="17">
        <v>250000</v>
      </c>
      <c r="I46" s="1"/>
    </row>
    <row r="47" spans="2:9" ht="15.75">
      <c r="B47" s="14">
        <v>43122</v>
      </c>
      <c r="C47" s="15">
        <v>1801044</v>
      </c>
      <c r="D47" s="16" t="s">
        <v>40</v>
      </c>
      <c r="E47" s="17"/>
      <c r="F47" s="17">
        <v>15000</v>
      </c>
      <c r="H47" s="1"/>
      <c r="I47" s="1"/>
    </row>
    <row r="48" spans="2:9" ht="15.75">
      <c r="B48" s="14">
        <v>43122</v>
      </c>
      <c r="C48" s="11">
        <v>1801045</v>
      </c>
      <c r="D48" s="16" t="s">
        <v>64</v>
      </c>
      <c r="E48" s="17">
        <f>2006+72582+2384+12164+5015</f>
        <v>94151</v>
      </c>
      <c r="F48" s="17"/>
      <c r="H48" s="1"/>
      <c r="I48" s="1"/>
    </row>
    <row r="49" spans="2:9" ht="15.75">
      <c r="B49" s="14">
        <v>43123</v>
      </c>
      <c r="C49" s="15">
        <v>1801046</v>
      </c>
      <c r="D49" s="16" t="s">
        <v>65</v>
      </c>
      <c r="E49" s="17">
        <f>6118+9817</f>
        <v>15935</v>
      </c>
      <c r="F49" s="17"/>
      <c r="H49" s="1"/>
      <c r="I49" s="1"/>
    </row>
    <row r="50" spans="2:9" ht="15.75">
      <c r="B50" s="14">
        <v>43124</v>
      </c>
      <c r="C50" s="11">
        <v>1801047</v>
      </c>
      <c r="D50" s="16" t="s">
        <v>5</v>
      </c>
      <c r="E50" s="17"/>
      <c r="F50" s="17">
        <v>10000</v>
      </c>
      <c r="H50" s="1"/>
      <c r="I50" s="1"/>
    </row>
    <row r="51" spans="2:9" ht="15.75">
      <c r="B51" s="14">
        <v>43124</v>
      </c>
      <c r="C51" s="15">
        <v>1801048</v>
      </c>
      <c r="D51" s="16" t="s">
        <v>66</v>
      </c>
      <c r="E51" s="17"/>
      <c r="F51" s="17">
        <v>35000</v>
      </c>
      <c r="H51" s="1"/>
      <c r="I51" s="1"/>
    </row>
    <row r="52" spans="2:9" ht="15.75">
      <c r="B52" s="14">
        <v>43124</v>
      </c>
      <c r="C52" s="11">
        <v>1801049</v>
      </c>
      <c r="D52" s="16" t="s">
        <v>67</v>
      </c>
      <c r="E52" s="17">
        <f>14260+18154+6330</f>
        <v>38744</v>
      </c>
      <c r="F52" s="17"/>
      <c r="H52" s="1"/>
      <c r="I52" s="1"/>
    </row>
    <row r="53" spans="2:9" ht="15.75">
      <c r="B53" s="14">
        <v>43125</v>
      </c>
      <c r="C53" s="15">
        <v>1801050</v>
      </c>
      <c r="D53" s="16" t="s">
        <v>68</v>
      </c>
      <c r="E53" s="17">
        <f>4248+7888+4195+11133</f>
        <v>27464</v>
      </c>
      <c r="F53" s="17"/>
      <c r="H53" s="1"/>
      <c r="I53" s="1"/>
    </row>
    <row r="54" spans="2:9" ht="15.75">
      <c r="B54" s="14">
        <v>43126</v>
      </c>
      <c r="C54" s="11">
        <v>1801051</v>
      </c>
      <c r="D54" s="16" t="s">
        <v>69</v>
      </c>
      <c r="E54" s="17">
        <f>20913+154763+400+10130+21722+9276</f>
        <v>217204</v>
      </c>
      <c r="F54" s="17"/>
      <c r="H54" s="1"/>
      <c r="I54" s="1"/>
    </row>
    <row r="55" spans="2:9" ht="15.75">
      <c r="B55" s="14">
        <v>43127</v>
      </c>
      <c r="C55" s="15">
        <v>1801052</v>
      </c>
      <c r="D55" s="12" t="s">
        <v>70</v>
      </c>
      <c r="E55" s="17">
        <f>9629+7180</f>
        <v>16809</v>
      </c>
      <c r="F55" s="17"/>
      <c r="H55" s="1"/>
      <c r="I55" s="1"/>
    </row>
    <row r="56" spans="2:9" ht="15.75">
      <c r="B56" s="14">
        <v>43127</v>
      </c>
      <c r="C56" s="11">
        <v>1801053</v>
      </c>
      <c r="D56" s="16" t="s">
        <v>71</v>
      </c>
      <c r="E56" s="17"/>
      <c r="F56" s="17">
        <v>60134</v>
      </c>
      <c r="I56" s="1"/>
    </row>
    <row r="57" spans="2:9" ht="15.75">
      <c r="B57" s="14">
        <v>43127</v>
      </c>
      <c r="C57" s="15">
        <v>1801054</v>
      </c>
      <c r="D57" s="16" t="s">
        <v>72</v>
      </c>
      <c r="E57" s="17"/>
      <c r="F57" s="17">
        <v>10000</v>
      </c>
      <c r="H57" s="1"/>
      <c r="I57" s="1"/>
    </row>
    <row r="58" spans="2:9" ht="15.75">
      <c r="B58" s="14">
        <v>43129</v>
      </c>
      <c r="C58" s="11">
        <v>1801055</v>
      </c>
      <c r="D58" s="16" t="s">
        <v>73</v>
      </c>
      <c r="E58" s="17">
        <f>58188+15145+8690+126052+7261</f>
        <v>215336</v>
      </c>
      <c r="F58" s="17"/>
      <c r="H58" s="1"/>
      <c r="I58" s="1"/>
    </row>
    <row r="59" spans="2:9" ht="15.75">
      <c r="B59" s="14">
        <v>43130</v>
      </c>
      <c r="C59" s="15">
        <v>1801056</v>
      </c>
      <c r="D59" s="16" t="s">
        <v>74</v>
      </c>
      <c r="E59" s="17">
        <v>13200</v>
      </c>
      <c r="F59" s="17"/>
      <c r="H59" s="1"/>
      <c r="I59" s="1"/>
    </row>
    <row r="60" spans="2:9" ht="15.75">
      <c r="B60" s="14">
        <v>43130</v>
      </c>
      <c r="C60" s="11">
        <v>1801057</v>
      </c>
      <c r="D60" s="16" t="s">
        <v>75</v>
      </c>
      <c r="E60" s="17">
        <f>11003+3561+32097+6068+37860+5045</f>
        <v>95634</v>
      </c>
      <c r="F60" s="17"/>
      <c r="H60" s="1"/>
      <c r="I60" s="1"/>
    </row>
    <row r="61" spans="2:9" ht="15.75">
      <c r="B61" s="14">
        <v>43131</v>
      </c>
      <c r="C61" s="15">
        <v>1801058</v>
      </c>
      <c r="D61" s="16" t="s">
        <v>14</v>
      </c>
      <c r="E61" s="17"/>
      <c r="F61" s="17">
        <v>13000</v>
      </c>
      <c r="H61" s="1"/>
      <c r="I61" s="1"/>
    </row>
    <row r="62" spans="2:9" ht="15.75">
      <c r="B62" s="14">
        <v>43131</v>
      </c>
      <c r="C62" s="11">
        <v>1801059</v>
      </c>
      <c r="D62" s="16" t="s">
        <v>76</v>
      </c>
      <c r="E62" s="17"/>
      <c r="F62" s="17">
        <v>200000</v>
      </c>
      <c r="H62" s="1"/>
      <c r="I62" s="1"/>
    </row>
    <row r="63" spans="2:9" ht="15.75">
      <c r="B63" s="14">
        <v>43131</v>
      </c>
      <c r="C63" s="15">
        <v>1801060</v>
      </c>
      <c r="D63" s="16" t="s">
        <v>77</v>
      </c>
      <c r="E63" s="17">
        <f>6000+99397+45808</f>
        <v>151205</v>
      </c>
      <c r="F63" s="17"/>
      <c r="H63" s="1"/>
      <c r="I63" s="1"/>
    </row>
    <row r="64" spans="2:9" ht="15.75">
      <c r="B64" s="14">
        <v>43131</v>
      </c>
      <c r="C64" s="11">
        <v>1801061</v>
      </c>
      <c r="D64" s="16" t="s">
        <v>78</v>
      </c>
      <c r="E64" s="17"/>
      <c r="F64" s="17">
        <v>6000</v>
      </c>
      <c r="H64" s="1"/>
      <c r="I64" s="1"/>
    </row>
    <row r="65" spans="2:9" ht="15.75">
      <c r="B65" s="6">
        <v>43131</v>
      </c>
      <c r="C65" s="34">
        <v>1801062</v>
      </c>
      <c r="D65" s="37" t="s">
        <v>181</v>
      </c>
      <c r="E65" s="9"/>
      <c r="F65" s="9">
        <v>100000</v>
      </c>
      <c r="H65" s="1"/>
      <c r="I65" s="1"/>
    </row>
    <row r="66" spans="2:9" ht="15.75">
      <c r="B66" s="18"/>
      <c r="C66" s="19"/>
      <c r="D66" s="20"/>
      <c r="E66" s="17">
        <f>SUM(E3:E65)</f>
        <v>7532383</v>
      </c>
      <c r="F66" s="17">
        <f>SUM(F3:F65)</f>
        <v>1376459</v>
      </c>
    </row>
    <row r="68" spans="2:9">
      <c r="E68" s="21" t="s">
        <v>6</v>
      </c>
      <c r="F68" s="17">
        <f>E66-F66</f>
        <v>6155924</v>
      </c>
    </row>
    <row r="69" spans="2:9">
      <c r="H69" s="1"/>
    </row>
  </sheetData>
  <printOptions horizontalCentered="1" verticalCentered="1"/>
  <pageMargins left="0" right="0" top="0" bottom="0" header="0" footer="0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H67"/>
  <sheetViews>
    <sheetView workbookViewId="0">
      <selection activeCell="F67" sqref="B2:F67"/>
    </sheetView>
  </sheetViews>
  <sheetFormatPr baseColWidth="10" defaultRowHeight="15"/>
  <cols>
    <col min="3" max="3" width="11" customWidth="1"/>
    <col min="4" max="4" width="49.28515625" bestFit="1" customWidth="1"/>
    <col min="5" max="6" width="14.140625" style="62" bestFit="1" customWidth="1"/>
    <col min="9" max="9" width="23.5703125" bestFit="1" customWidth="1"/>
    <col min="10" max="10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43374</v>
      </c>
      <c r="C3" s="22"/>
      <c r="D3" s="8" t="s">
        <v>523</v>
      </c>
      <c r="E3" s="61">
        <f>'SEPTEMBRE 2018'!F70</f>
        <v>253977</v>
      </c>
      <c r="F3" s="24"/>
    </row>
    <row r="4" spans="2:6" ht="15.75">
      <c r="B4" s="14">
        <v>43374</v>
      </c>
      <c r="C4" s="15">
        <v>1810001</v>
      </c>
      <c r="D4" s="16" t="s">
        <v>524</v>
      </c>
      <c r="E4" s="61"/>
      <c r="F4" s="61">
        <v>1500</v>
      </c>
    </row>
    <row r="5" spans="2:6" ht="15.75">
      <c r="B5" s="14">
        <v>43374</v>
      </c>
      <c r="C5" s="15">
        <v>1810002</v>
      </c>
      <c r="D5" s="16" t="s">
        <v>83</v>
      </c>
      <c r="E5" s="61"/>
      <c r="F5" s="61">
        <v>500</v>
      </c>
    </row>
    <row r="6" spans="2:6" ht="15.75">
      <c r="B6" s="14">
        <v>43374</v>
      </c>
      <c r="C6" s="15">
        <v>1810003</v>
      </c>
      <c r="D6" s="16" t="s">
        <v>525</v>
      </c>
      <c r="E6" s="61"/>
      <c r="F6" s="61">
        <v>55000</v>
      </c>
    </row>
    <row r="7" spans="2:6" ht="15.75">
      <c r="B7" s="14">
        <v>43374</v>
      </c>
      <c r="C7" s="15">
        <v>1810004</v>
      </c>
      <c r="D7" s="16" t="s">
        <v>526</v>
      </c>
      <c r="E7" s="61">
        <f>32929+30780+12608+30780+826</f>
        <v>107923</v>
      </c>
      <c r="F7" s="61"/>
    </row>
    <row r="8" spans="2:6" ht="15.75">
      <c r="B8" s="14">
        <v>43375</v>
      </c>
      <c r="C8" s="15">
        <v>1810005</v>
      </c>
      <c r="D8" s="16" t="s">
        <v>258</v>
      </c>
      <c r="E8" s="61"/>
      <c r="F8" s="61">
        <v>3000</v>
      </c>
    </row>
    <row r="9" spans="2:6" ht="15.75">
      <c r="B9" s="14">
        <v>43375</v>
      </c>
      <c r="C9" s="15">
        <v>1810006</v>
      </c>
      <c r="D9" s="16" t="s">
        <v>527</v>
      </c>
      <c r="E9" s="61"/>
      <c r="F9" s="61">
        <v>150086</v>
      </c>
    </row>
    <row r="10" spans="2:6" ht="15.75">
      <c r="B10" s="14">
        <v>43376</v>
      </c>
      <c r="C10" s="15">
        <v>1810007</v>
      </c>
      <c r="D10" s="16" t="s">
        <v>281</v>
      </c>
      <c r="E10" s="61"/>
      <c r="F10" s="61">
        <v>110000</v>
      </c>
    </row>
    <row r="11" spans="2:6" ht="15.75">
      <c r="B11" s="14">
        <v>43376</v>
      </c>
      <c r="C11" s="15">
        <v>1810008</v>
      </c>
      <c r="D11" s="16" t="s">
        <v>507</v>
      </c>
      <c r="E11" s="61"/>
      <c r="F11" s="61">
        <v>10000</v>
      </c>
    </row>
    <row r="12" spans="2:6" ht="15.75">
      <c r="B12" s="14">
        <v>43376</v>
      </c>
      <c r="C12" s="15">
        <v>1810009</v>
      </c>
      <c r="D12" s="16" t="s">
        <v>528</v>
      </c>
      <c r="E12" s="61">
        <f>4720+8360+11900+15145</f>
        <v>40125</v>
      </c>
      <c r="F12" s="61"/>
    </row>
    <row r="13" spans="2:6" ht="15.75">
      <c r="B13" s="14">
        <v>43377</v>
      </c>
      <c r="C13" s="15">
        <v>1810010</v>
      </c>
      <c r="D13" s="16" t="s">
        <v>529</v>
      </c>
      <c r="E13" s="61">
        <f>24101+32498</f>
        <v>56599</v>
      </c>
      <c r="F13" s="61"/>
    </row>
    <row r="14" spans="2:6" ht="15.75">
      <c r="B14" s="14">
        <v>43378</v>
      </c>
      <c r="C14" s="15">
        <v>1810011</v>
      </c>
      <c r="D14" s="16" t="s">
        <v>412</v>
      </c>
      <c r="E14" s="61"/>
      <c r="F14" s="61">
        <v>2000</v>
      </c>
    </row>
    <row r="15" spans="2:6" ht="15.75">
      <c r="B15" s="14">
        <v>43378</v>
      </c>
      <c r="C15" s="15">
        <v>1810012</v>
      </c>
      <c r="D15" s="16" t="s">
        <v>530</v>
      </c>
      <c r="E15" s="61">
        <f>20260+18904+16714+10201+7803</f>
        <v>73882</v>
      </c>
      <c r="F15" s="61"/>
    </row>
    <row r="16" spans="2:6" ht="15.75">
      <c r="B16" s="14">
        <v>43378</v>
      </c>
      <c r="C16" s="15">
        <v>1810013</v>
      </c>
      <c r="D16" s="16" t="s">
        <v>531</v>
      </c>
      <c r="E16" s="61"/>
      <c r="F16" s="61">
        <v>1000</v>
      </c>
    </row>
    <row r="17" spans="2:6" ht="15.75">
      <c r="B17" s="14">
        <v>43381</v>
      </c>
      <c r="C17" s="15">
        <v>1810014</v>
      </c>
      <c r="D17" s="16" t="s">
        <v>532</v>
      </c>
      <c r="E17" s="61"/>
      <c r="F17" s="61">
        <v>50000</v>
      </c>
    </row>
    <row r="18" spans="2:6" ht="15.75">
      <c r="B18" s="14">
        <v>43381</v>
      </c>
      <c r="C18" s="15">
        <v>1810015</v>
      </c>
      <c r="D18" s="16" t="s">
        <v>533</v>
      </c>
      <c r="E18" s="61"/>
      <c r="F18" s="61">
        <v>60000</v>
      </c>
    </row>
    <row r="19" spans="2:6" ht="15.75">
      <c r="B19" s="14">
        <v>43381</v>
      </c>
      <c r="C19" s="15">
        <v>1810016</v>
      </c>
      <c r="D19" s="16" t="s">
        <v>534</v>
      </c>
      <c r="E19" s="61"/>
      <c r="F19" s="61">
        <v>30100</v>
      </c>
    </row>
    <row r="20" spans="2:6" ht="15.75">
      <c r="B20" s="14">
        <v>43382</v>
      </c>
      <c r="C20" s="15">
        <v>1810017</v>
      </c>
      <c r="D20" s="16" t="s">
        <v>535</v>
      </c>
      <c r="E20" s="61">
        <v>18934</v>
      </c>
      <c r="F20" s="61"/>
    </row>
    <row r="21" spans="2:6">
      <c r="B21" s="14">
        <v>43382</v>
      </c>
      <c r="C21" s="59">
        <v>1810018</v>
      </c>
      <c r="D21" s="39" t="s">
        <v>537</v>
      </c>
      <c r="E21" s="61">
        <f>11253+14343+7652+48480+18012</f>
        <v>99740</v>
      </c>
      <c r="F21" s="60"/>
    </row>
    <row r="22" spans="2:6">
      <c r="B22" s="14">
        <v>43382</v>
      </c>
      <c r="C22" s="59">
        <v>1810019</v>
      </c>
      <c r="D22" s="39" t="s">
        <v>538</v>
      </c>
      <c r="E22" s="61"/>
      <c r="F22" s="61">
        <v>95000</v>
      </c>
    </row>
    <row r="23" spans="2:6">
      <c r="B23" s="14">
        <v>43382</v>
      </c>
      <c r="C23" s="59">
        <v>1810020</v>
      </c>
      <c r="D23" s="39" t="s">
        <v>226</v>
      </c>
      <c r="E23" s="61"/>
      <c r="F23" s="61">
        <v>2253</v>
      </c>
    </row>
    <row r="24" spans="2:6">
      <c r="B24" s="14">
        <v>43382</v>
      </c>
      <c r="C24" s="59">
        <v>1810021</v>
      </c>
      <c r="D24" s="39" t="s">
        <v>539</v>
      </c>
      <c r="E24" s="61"/>
      <c r="F24" s="61">
        <v>1725</v>
      </c>
    </row>
    <row r="25" spans="2:6">
      <c r="B25" s="14">
        <v>43382</v>
      </c>
      <c r="C25" s="59">
        <v>1810022</v>
      </c>
      <c r="D25" s="39" t="s">
        <v>540</v>
      </c>
      <c r="E25" s="61">
        <f>3069+26178+222531</f>
        <v>251778</v>
      </c>
      <c r="F25" s="60"/>
    </row>
    <row r="26" spans="2:6">
      <c r="B26" s="14">
        <v>43383</v>
      </c>
      <c r="C26" s="59">
        <v>1810023</v>
      </c>
      <c r="D26" s="39" t="s">
        <v>541</v>
      </c>
      <c r="E26" s="61"/>
      <c r="F26" s="61">
        <v>6000</v>
      </c>
    </row>
    <row r="27" spans="2:6">
      <c r="B27" s="14">
        <v>43383</v>
      </c>
      <c r="C27" s="59">
        <v>1810024</v>
      </c>
      <c r="D27" s="39" t="s">
        <v>542</v>
      </c>
      <c r="E27" s="61">
        <v>7180</v>
      </c>
      <c r="F27" s="60"/>
    </row>
    <row r="28" spans="2:6">
      <c r="B28" s="14">
        <v>43384</v>
      </c>
      <c r="C28" s="59">
        <v>1810025</v>
      </c>
      <c r="D28" s="39" t="s">
        <v>258</v>
      </c>
      <c r="E28" s="61"/>
      <c r="F28" s="61">
        <v>3000</v>
      </c>
    </row>
    <row r="29" spans="2:6">
      <c r="B29" s="14">
        <v>43384</v>
      </c>
      <c r="C29" s="59">
        <v>1810026</v>
      </c>
      <c r="D29" s="39" t="s">
        <v>543</v>
      </c>
      <c r="E29" s="61"/>
      <c r="F29" s="61">
        <v>40000</v>
      </c>
    </row>
    <row r="30" spans="2:6">
      <c r="B30" s="14">
        <v>43384</v>
      </c>
      <c r="C30" s="59">
        <v>1810027</v>
      </c>
      <c r="D30" s="39" t="s">
        <v>544</v>
      </c>
      <c r="E30" s="61">
        <f>67461+34032+1369+5688+12726</f>
        <v>121276</v>
      </c>
      <c r="F30" s="60"/>
    </row>
    <row r="31" spans="2:6">
      <c r="B31" s="14">
        <v>43384</v>
      </c>
      <c r="C31" s="59">
        <v>1810028</v>
      </c>
      <c r="D31" s="39" t="s">
        <v>545</v>
      </c>
      <c r="E31" s="61"/>
      <c r="F31" s="61">
        <v>55283</v>
      </c>
    </row>
    <row r="32" spans="2:6">
      <c r="B32" s="14">
        <v>43385</v>
      </c>
      <c r="C32" s="59">
        <v>1810029</v>
      </c>
      <c r="D32" s="39" t="s">
        <v>546</v>
      </c>
      <c r="E32" s="61"/>
      <c r="F32" s="61">
        <v>80000</v>
      </c>
    </row>
    <row r="33" spans="2:6">
      <c r="B33" s="14">
        <v>43388</v>
      </c>
      <c r="C33" s="59">
        <v>1810030</v>
      </c>
      <c r="D33" s="39" t="s">
        <v>547</v>
      </c>
      <c r="E33" s="61">
        <f>4425+9795+22756+7624</f>
        <v>44600</v>
      </c>
      <c r="F33" s="60"/>
    </row>
    <row r="34" spans="2:6">
      <c r="B34" s="14">
        <v>43389</v>
      </c>
      <c r="C34" s="59">
        <v>1810031</v>
      </c>
      <c r="D34" s="39" t="s">
        <v>467</v>
      </c>
      <c r="E34" s="61"/>
      <c r="F34" s="61">
        <v>30100</v>
      </c>
    </row>
    <row r="35" spans="2:6">
      <c r="B35" s="14">
        <v>43390</v>
      </c>
      <c r="C35" s="59">
        <v>1810032</v>
      </c>
      <c r="D35" s="39" t="s">
        <v>548</v>
      </c>
      <c r="E35" s="61"/>
      <c r="F35" s="61">
        <v>20000</v>
      </c>
    </row>
    <row r="36" spans="2:6">
      <c r="B36" s="14">
        <v>43390</v>
      </c>
      <c r="C36" s="59">
        <v>1810033</v>
      </c>
      <c r="D36" s="39" t="s">
        <v>30</v>
      </c>
      <c r="E36" s="61"/>
      <c r="F36" s="61">
        <v>1000</v>
      </c>
    </row>
    <row r="37" spans="2:6">
      <c r="B37" s="14">
        <v>43390</v>
      </c>
      <c r="C37" s="59">
        <v>1810034</v>
      </c>
      <c r="D37" s="39" t="s">
        <v>549</v>
      </c>
      <c r="E37" s="61">
        <f>30034+7038+4885</f>
        <v>41957</v>
      </c>
      <c r="F37" s="61"/>
    </row>
    <row r="38" spans="2:6">
      <c r="B38" s="14">
        <v>43391</v>
      </c>
      <c r="C38" s="59">
        <v>1810035</v>
      </c>
      <c r="D38" s="39" t="s">
        <v>550</v>
      </c>
      <c r="E38" s="61">
        <f>11251+23256+20236</f>
        <v>54743</v>
      </c>
      <c r="F38" s="61"/>
    </row>
    <row r="39" spans="2:6">
      <c r="B39" s="14">
        <v>43392</v>
      </c>
      <c r="C39" s="59">
        <v>1810036</v>
      </c>
      <c r="D39" s="39" t="s">
        <v>551</v>
      </c>
      <c r="E39" s="61"/>
      <c r="F39" s="61">
        <v>1500</v>
      </c>
    </row>
    <row r="40" spans="2:6">
      <c r="B40" s="14">
        <v>43392</v>
      </c>
      <c r="C40" s="59">
        <v>1810037</v>
      </c>
      <c r="D40" s="39" t="s">
        <v>552</v>
      </c>
      <c r="E40" s="61"/>
      <c r="F40" s="61">
        <v>5000</v>
      </c>
    </row>
    <row r="41" spans="2:6">
      <c r="B41" s="14">
        <v>43393</v>
      </c>
      <c r="C41" s="59">
        <v>1810038</v>
      </c>
      <c r="D41" s="39" t="s">
        <v>553</v>
      </c>
      <c r="E41" s="61"/>
      <c r="F41" s="61">
        <v>14000</v>
      </c>
    </row>
    <row r="42" spans="2:6">
      <c r="B42" s="14">
        <v>43395</v>
      </c>
      <c r="C42" s="59">
        <v>1810039</v>
      </c>
      <c r="D42" s="39" t="s">
        <v>554</v>
      </c>
      <c r="E42" s="61"/>
      <c r="F42" s="60">
        <v>2000</v>
      </c>
    </row>
    <row r="43" spans="2:6">
      <c r="B43" s="14">
        <v>43395</v>
      </c>
      <c r="C43" s="59">
        <v>1810040</v>
      </c>
      <c r="D43" s="39" t="s">
        <v>555</v>
      </c>
      <c r="E43" s="61"/>
      <c r="F43" s="60">
        <v>3500</v>
      </c>
    </row>
    <row r="44" spans="2:6">
      <c r="B44" s="14">
        <v>43395</v>
      </c>
      <c r="C44" s="59">
        <v>1810041</v>
      </c>
      <c r="D44" s="39" t="s">
        <v>556</v>
      </c>
      <c r="E44" s="61">
        <f>1180+15145+6295+11093+33701</f>
        <v>67414</v>
      </c>
      <c r="F44" s="60"/>
    </row>
    <row r="45" spans="2:6">
      <c r="B45" s="14">
        <v>43396</v>
      </c>
      <c r="C45" s="59">
        <v>1810042</v>
      </c>
      <c r="D45" s="39" t="s">
        <v>546</v>
      </c>
      <c r="E45" s="61"/>
      <c r="F45" s="61">
        <v>20000</v>
      </c>
    </row>
    <row r="46" spans="2:6">
      <c r="B46" s="14">
        <v>43396</v>
      </c>
      <c r="C46" s="59">
        <v>1810043</v>
      </c>
      <c r="D46" s="39" t="s">
        <v>557</v>
      </c>
      <c r="E46" s="61">
        <f>6354+13841+39970+8136+18154+3676</f>
        <v>90131</v>
      </c>
      <c r="F46" s="60"/>
    </row>
    <row r="47" spans="2:6">
      <c r="B47" s="14">
        <v>43397</v>
      </c>
      <c r="C47" s="59">
        <v>1810044</v>
      </c>
      <c r="D47" s="39" t="s">
        <v>558</v>
      </c>
      <c r="E47" s="61"/>
      <c r="F47" s="61">
        <v>100100</v>
      </c>
    </row>
    <row r="48" spans="2:6">
      <c r="B48" s="14">
        <v>43397</v>
      </c>
      <c r="C48" s="59">
        <v>1810045</v>
      </c>
      <c r="D48" s="39" t="s">
        <v>381</v>
      </c>
      <c r="E48" s="61"/>
      <c r="F48" s="61">
        <v>20000</v>
      </c>
    </row>
    <row r="49" spans="2:8">
      <c r="B49" s="14">
        <v>43397</v>
      </c>
      <c r="C49" s="59">
        <v>1810046</v>
      </c>
      <c r="D49" s="39" t="s">
        <v>559</v>
      </c>
      <c r="E49" s="61">
        <f>21916+65850</f>
        <v>87766</v>
      </c>
      <c r="F49" s="60"/>
    </row>
    <row r="50" spans="2:8">
      <c r="B50" s="14">
        <v>43398</v>
      </c>
      <c r="C50" s="59">
        <v>1810047</v>
      </c>
      <c r="D50" s="39" t="s">
        <v>560</v>
      </c>
      <c r="E50" s="61"/>
      <c r="F50" s="61">
        <v>29925</v>
      </c>
    </row>
    <row r="51" spans="2:8">
      <c r="B51" s="14">
        <v>43398</v>
      </c>
      <c r="C51" s="59">
        <v>1810048</v>
      </c>
      <c r="D51" s="39" t="s">
        <v>561</v>
      </c>
      <c r="E51" s="61">
        <v>200000</v>
      </c>
      <c r="F51" s="60"/>
    </row>
    <row r="52" spans="2:8">
      <c r="B52" s="14">
        <v>43398</v>
      </c>
      <c r="C52" s="59">
        <v>1810049</v>
      </c>
      <c r="D52" s="39" t="s">
        <v>562</v>
      </c>
      <c r="E52" s="61">
        <f>27476+18155+15967</f>
        <v>61598</v>
      </c>
      <c r="F52" s="60"/>
    </row>
    <row r="53" spans="2:8">
      <c r="B53" s="14">
        <v>43399</v>
      </c>
      <c r="C53" s="59">
        <v>1810050</v>
      </c>
      <c r="D53" s="39" t="s">
        <v>563</v>
      </c>
      <c r="E53" s="61"/>
      <c r="F53" s="61">
        <v>30100</v>
      </c>
    </row>
    <row r="54" spans="2:8">
      <c r="B54" s="14">
        <v>43400</v>
      </c>
      <c r="C54" s="59">
        <v>1810051</v>
      </c>
      <c r="D54" s="39" t="s">
        <v>564</v>
      </c>
      <c r="E54" s="61"/>
      <c r="F54" s="61">
        <v>15500</v>
      </c>
    </row>
    <row r="55" spans="2:8">
      <c r="B55" s="14">
        <v>43402</v>
      </c>
      <c r="C55" s="59">
        <v>1810052</v>
      </c>
      <c r="D55" s="39" t="s">
        <v>565</v>
      </c>
      <c r="E55" s="61"/>
      <c r="F55" s="61">
        <v>6000</v>
      </c>
      <c r="H55" s="32"/>
    </row>
    <row r="56" spans="2:8">
      <c r="B56" s="14">
        <v>43402</v>
      </c>
      <c r="C56" s="59">
        <v>1810053</v>
      </c>
      <c r="D56" s="39" t="s">
        <v>566</v>
      </c>
      <c r="E56" s="61">
        <f>6590</f>
        <v>6590</v>
      </c>
      <c r="F56" s="60"/>
    </row>
    <row r="57" spans="2:8">
      <c r="B57" s="14">
        <v>43403</v>
      </c>
      <c r="C57" s="59">
        <v>1810054</v>
      </c>
      <c r="D57" s="39" t="s">
        <v>30</v>
      </c>
      <c r="E57" s="61"/>
      <c r="F57" s="61">
        <v>12000</v>
      </c>
    </row>
    <row r="58" spans="2:8">
      <c r="B58" s="14">
        <v>43403</v>
      </c>
      <c r="C58" s="59">
        <v>1810055</v>
      </c>
      <c r="D58" s="39" t="s">
        <v>567</v>
      </c>
      <c r="E58" s="61">
        <f>2567+3000+3422+15647</f>
        <v>24636</v>
      </c>
      <c r="F58" s="60"/>
    </row>
    <row r="59" spans="2:8">
      <c r="B59" s="14">
        <v>43404</v>
      </c>
      <c r="C59" s="59">
        <v>1810056</v>
      </c>
      <c r="D59" s="39" t="s">
        <v>568</v>
      </c>
      <c r="E59" s="61"/>
      <c r="F59" s="61">
        <v>55000</v>
      </c>
    </row>
    <row r="60" spans="2:8">
      <c r="B60" s="14">
        <v>43404</v>
      </c>
      <c r="C60" s="59">
        <v>1810057</v>
      </c>
      <c r="D60" s="39" t="s">
        <v>569</v>
      </c>
      <c r="E60" s="61"/>
      <c r="F60" s="61">
        <v>80000</v>
      </c>
    </row>
    <row r="61" spans="2:8">
      <c r="B61" s="14">
        <v>43404</v>
      </c>
      <c r="C61" s="59">
        <v>1810058</v>
      </c>
      <c r="D61" s="39" t="s">
        <v>570</v>
      </c>
      <c r="E61" s="61"/>
      <c r="F61" s="61">
        <v>12000</v>
      </c>
    </row>
    <row r="62" spans="2:8">
      <c r="B62" s="14">
        <v>43404</v>
      </c>
      <c r="C62" s="59">
        <v>1810059</v>
      </c>
      <c r="D62" s="39" t="s">
        <v>571</v>
      </c>
      <c r="E62" s="61">
        <f>69210+25175+2832+3221</f>
        <v>100438</v>
      </c>
      <c r="F62" s="60"/>
    </row>
    <row r="63" spans="2:8">
      <c r="B63" s="14">
        <v>43404</v>
      </c>
      <c r="C63" s="59">
        <v>1810060</v>
      </c>
      <c r="D63" s="39" t="s">
        <v>303</v>
      </c>
      <c r="E63" s="61"/>
      <c r="F63" s="61">
        <v>2500</v>
      </c>
    </row>
    <row r="64" spans="2:8">
      <c r="B64" s="14">
        <v>43404</v>
      </c>
      <c r="C64" s="59">
        <v>1810061</v>
      </c>
      <c r="D64" s="35" t="s">
        <v>626</v>
      </c>
      <c r="E64" s="61"/>
      <c r="F64" s="61">
        <v>500000</v>
      </c>
    </row>
    <row r="65" spans="2:6" ht="15.75">
      <c r="B65" s="18"/>
      <c r="C65" s="19"/>
      <c r="D65" s="20"/>
      <c r="E65" s="61">
        <f>SUM(E3:E64)</f>
        <v>1811287</v>
      </c>
      <c r="F65" s="61">
        <f>SUM(F3:F64)</f>
        <v>1716672</v>
      </c>
    </row>
    <row r="66" spans="2:6">
      <c r="B66" s="5"/>
      <c r="C66" s="27"/>
    </row>
    <row r="67" spans="2:6">
      <c r="B67" s="5"/>
      <c r="C67" s="27"/>
      <c r="E67" s="63" t="s">
        <v>6</v>
      </c>
      <c r="F67" s="61">
        <f>E65-F65</f>
        <v>94615</v>
      </c>
    </row>
  </sheetData>
  <printOptions horizontalCentered="1" verticalCentered="1"/>
  <pageMargins left="0" right="0" top="0" bottom="0" header="0" footer="0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H61"/>
  <sheetViews>
    <sheetView topLeftCell="A40" workbookViewId="0">
      <selection activeCell="E63" sqref="E63"/>
    </sheetView>
  </sheetViews>
  <sheetFormatPr baseColWidth="10" defaultRowHeight="15"/>
  <cols>
    <col min="3" max="3" width="12" customWidth="1"/>
    <col min="4" max="4" width="54.7109375" bestFit="1" customWidth="1"/>
    <col min="5" max="6" width="14.140625" bestFit="1" customWidth="1"/>
    <col min="11" max="11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43405</v>
      </c>
      <c r="C3" s="22"/>
      <c r="D3" s="8" t="s">
        <v>536</v>
      </c>
      <c r="E3" s="55">
        <f>'OCTOBRE 2018'!F67</f>
        <v>94615</v>
      </c>
      <c r="F3" s="55"/>
    </row>
    <row r="4" spans="2:6">
      <c r="B4" s="14">
        <v>43406</v>
      </c>
      <c r="C4" s="59">
        <v>1811001</v>
      </c>
      <c r="D4" s="39" t="s">
        <v>573</v>
      </c>
      <c r="E4" s="55">
        <f>111734+30210+2600+13505</f>
        <v>158049</v>
      </c>
      <c r="F4" s="55"/>
    </row>
    <row r="5" spans="2:6">
      <c r="B5" s="14">
        <v>43407</v>
      </c>
      <c r="C5" s="59">
        <v>1811002</v>
      </c>
      <c r="D5" s="39" t="s">
        <v>574</v>
      </c>
      <c r="E5" s="55"/>
      <c r="F5" s="55">
        <v>4000</v>
      </c>
    </row>
    <row r="6" spans="2:6">
      <c r="B6" s="14">
        <v>43409</v>
      </c>
      <c r="C6" s="59">
        <v>1811003</v>
      </c>
      <c r="D6" s="39" t="s">
        <v>575</v>
      </c>
      <c r="E6" s="55"/>
      <c r="F6" s="55">
        <v>30000</v>
      </c>
    </row>
    <row r="7" spans="2:6">
      <c r="B7" s="14">
        <v>43409</v>
      </c>
      <c r="C7" s="59">
        <v>1811004</v>
      </c>
      <c r="D7" s="39" t="s">
        <v>576</v>
      </c>
      <c r="E7" s="55"/>
      <c r="F7" s="55">
        <v>112500</v>
      </c>
    </row>
    <row r="8" spans="2:6">
      <c r="B8" s="14">
        <v>43410</v>
      </c>
      <c r="C8" s="59">
        <v>1811005</v>
      </c>
      <c r="D8" s="39" t="s">
        <v>577</v>
      </c>
      <c r="E8" s="55">
        <f>26202+7947+14260+88288</f>
        <v>136697</v>
      </c>
      <c r="F8" s="55"/>
    </row>
    <row r="9" spans="2:6">
      <c r="B9" s="14">
        <v>43411</v>
      </c>
      <c r="C9" s="59">
        <v>1811006</v>
      </c>
      <c r="D9" s="39" t="s">
        <v>560</v>
      </c>
      <c r="E9" s="55"/>
      <c r="F9" s="55">
        <v>29925</v>
      </c>
    </row>
    <row r="10" spans="2:6">
      <c r="B10" s="14">
        <v>43411</v>
      </c>
      <c r="C10" s="59">
        <v>1811007</v>
      </c>
      <c r="D10" s="39" t="s">
        <v>578</v>
      </c>
      <c r="E10" s="55">
        <f>2926+19157+16856</f>
        <v>38939</v>
      </c>
      <c r="F10" s="55"/>
    </row>
    <row r="11" spans="2:6">
      <c r="B11" s="14">
        <v>43412</v>
      </c>
      <c r="C11" s="59">
        <v>1811008</v>
      </c>
      <c r="D11" s="39" t="s">
        <v>579</v>
      </c>
      <c r="E11" s="55">
        <v>78900</v>
      </c>
      <c r="F11" s="55"/>
    </row>
    <row r="12" spans="2:6">
      <c r="B12" s="14">
        <v>43412</v>
      </c>
      <c r="C12" s="59">
        <v>1811009</v>
      </c>
      <c r="D12" s="39" t="s">
        <v>580</v>
      </c>
      <c r="E12" s="55"/>
      <c r="F12" s="55">
        <v>1400</v>
      </c>
    </row>
    <row r="13" spans="2:6">
      <c r="B13" s="14">
        <v>43412</v>
      </c>
      <c r="C13" s="59">
        <v>1811010</v>
      </c>
      <c r="D13" s="39" t="s">
        <v>581</v>
      </c>
      <c r="E13" s="55"/>
      <c r="F13" s="55">
        <v>95000</v>
      </c>
    </row>
    <row r="14" spans="2:6">
      <c r="B14" s="14">
        <v>43412</v>
      </c>
      <c r="C14" s="59">
        <v>1811011</v>
      </c>
      <c r="D14" s="39" t="s">
        <v>554</v>
      </c>
      <c r="E14" s="55"/>
      <c r="F14" s="55">
        <v>2000</v>
      </c>
    </row>
    <row r="15" spans="2:6">
      <c r="B15" s="14">
        <v>43412</v>
      </c>
      <c r="C15" s="59">
        <v>1811012</v>
      </c>
      <c r="D15" s="39" t="s">
        <v>582</v>
      </c>
      <c r="E15" s="55"/>
      <c r="F15" s="55">
        <v>3000</v>
      </c>
    </row>
    <row r="16" spans="2:6">
      <c r="B16" s="14">
        <v>43413</v>
      </c>
      <c r="C16" s="59">
        <v>1811013</v>
      </c>
      <c r="D16" s="39" t="s">
        <v>583</v>
      </c>
      <c r="E16" s="55"/>
      <c r="F16" s="55">
        <v>3500</v>
      </c>
    </row>
    <row r="17" spans="2:8">
      <c r="B17" s="14">
        <v>43413</v>
      </c>
      <c r="C17" s="59">
        <v>1811014</v>
      </c>
      <c r="D17" s="39" t="s">
        <v>584</v>
      </c>
      <c r="E17" s="55"/>
      <c r="F17" s="55">
        <v>2000</v>
      </c>
    </row>
    <row r="18" spans="2:8">
      <c r="B18" s="14">
        <v>43413</v>
      </c>
      <c r="C18" s="59">
        <v>1811015</v>
      </c>
      <c r="D18" s="39" t="s">
        <v>585</v>
      </c>
      <c r="E18" s="55"/>
      <c r="F18" s="55">
        <v>80000</v>
      </c>
    </row>
    <row r="19" spans="2:8">
      <c r="B19" s="14">
        <v>43413</v>
      </c>
      <c r="C19" s="59">
        <v>1811016</v>
      </c>
      <c r="D19" s="39" t="s">
        <v>586</v>
      </c>
      <c r="E19" s="55">
        <f>4814+14260+13641+567627+35689</f>
        <v>636031</v>
      </c>
      <c r="F19" s="55"/>
    </row>
    <row r="20" spans="2:8">
      <c r="B20" s="14">
        <v>43413</v>
      </c>
      <c r="C20" s="59">
        <v>1811017</v>
      </c>
      <c r="D20" s="39" t="s">
        <v>587</v>
      </c>
      <c r="E20" s="55"/>
      <c r="F20" s="55">
        <v>22000</v>
      </c>
    </row>
    <row r="21" spans="2:8">
      <c r="B21" s="14">
        <v>43413</v>
      </c>
      <c r="C21" s="59">
        <v>1811018</v>
      </c>
      <c r="D21" s="39" t="s">
        <v>588</v>
      </c>
      <c r="E21" s="55">
        <v>13363</v>
      </c>
      <c r="F21" s="55"/>
    </row>
    <row r="22" spans="2:8">
      <c r="B22" s="14">
        <v>43416</v>
      </c>
      <c r="C22" s="59">
        <v>1811019</v>
      </c>
      <c r="D22" s="39" t="s">
        <v>589</v>
      </c>
      <c r="E22" s="55"/>
      <c r="F22" s="55">
        <v>20000</v>
      </c>
    </row>
    <row r="23" spans="2:8">
      <c r="B23" s="14">
        <v>43416</v>
      </c>
      <c r="C23" s="59">
        <v>1811020</v>
      </c>
      <c r="D23" s="39" t="s">
        <v>354</v>
      </c>
      <c r="E23" s="55"/>
      <c r="F23" s="55">
        <v>30100</v>
      </c>
    </row>
    <row r="24" spans="2:8">
      <c r="B24" s="14">
        <v>43416</v>
      </c>
      <c r="C24" s="59">
        <v>1811021</v>
      </c>
      <c r="D24" s="39" t="s">
        <v>590</v>
      </c>
      <c r="E24" s="55"/>
      <c r="F24" s="55">
        <v>103715</v>
      </c>
    </row>
    <row r="25" spans="2:8">
      <c r="B25" s="14">
        <v>43416</v>
      </c>
      <c r="C25" s="59">
        <v>1811022</v>
      </c>
      <c r="D25" s="39" t="s">
        <v>591</v>
      </c>
      <c r="E25" s="55"/>
      <c r="F25" s="55">
        <v>78100</v>
      </c>
    </row>
    <row r="26" spans="2:8">
      <c r="B26" s="14">
        <v>43416</v>
      </c>
      <c r="C26" s="59">
        <v>1811023</v>
      </c>
      <c r="D26" s="39" t="s">
        <v>592</v>
      </c>
      <c r="E26" s="55"/>
      <c r="F26" s="55">
        <v>50000</v>
      </c>
    </row>
    <row r="27" spans="2:8">
      <c r="B27" s="14">
        <v>43416</v>
      </c>
      <c r="C27" s="59">
        <v>1811024</v>
      </c>
      <c r="D27" s="39" t="s">
        <v>593</v>
      </c>
      <c r="E27" s="55">
        <f>10248+8313+31677+2596</f>
        <v>52834</v>
      </c>
      <c r="F27" s="55"/>
    </row>
    <row r="28" spans="2:8">
      <c r="B28" s="14">
        <v>43417</v>
      </c>
      <c r="C28" s="59">
        <v>1811025</v>
      </c>
      <c r="D28" s="39" t="s">
        <v>594</v>
      </c>
      <c r="E28" s="55"/>
      <c r="F28" s="55">
        <v>60000</v>
      </c>
    </row>
    <row r="29" spans="2:8">
      <c r="B29" s="14">
        <v>43417</v>
      </c>
      <c r="C29" s="59">
        <v>1811026</v>
      </c>
      <c r="D29" s="39" t="s">
        <v>541</v>
      </c>
      <c r="E29" s="55"/>
      <c r="F29" s="55">
        <v>6000</v>
      </c>
    </row>
    <row r="30" spans="2:8">
      <c r="B30" s="14">
        <v>43417</v>
      </c>
      <c r="C30" s="59">
        <v>1811027</v>
      </c>
      <c r="D30" s="39" t="s">
        <v>595</v>
      </c>
      <c r="E30" s="55"/>
      <c r="F30" s="55">
        <v>3000</v>
      </c>
    </row>
    <row r="31" spans="2:8">
      <c r="B31" s="14">
        <v>43417</v>
      </c>
      <c r="C31" s="59">
        <v>1811028</v>
      </c>
      <c r="D31" s="39" t="s">
        <v>596</v>
      </c>
      <c r="E31" s="55">
        <f>3835+7711+9481+26735+7521+31269</f>
        <v>86552</v>
      </c>
      <c r="F31" s="55"/>
    </row>
    <row r="32" spans="2:8">
      <c r="B32" s="14">
        <v>43417</v>
      </c>
      <c r="C32" s="59">
        <v>1811029</v>
      </c>
      <c r="D32" s="39" t="s">
        <v>597</v>
      </c>
      <c r="E32" s="55">
        <v>200000</v>
      </c>
      <c r="F32" s="55"/>
      <c r="H32" s="32"/>
    </row>
    <row r="33" spans="2:6">
      <c r="B33" s="14">
        <v>43418</v>
      </c>
      <c r="C33" s="59">
        <v>1811030</v>
      </c>
      <c r="D33" s="39" t="s">
        <v>598</v>
      </c>
      <c r="E33" s="55">
        <v>18886</v>
      </c>
      <c r="F33" s="55"/>
    </row>
    <row r="34" spans="2:6" ht="15.75">
      <c r="B34" s="14">
        <v>43420</v>
      </c>
      <c r="C34" s="15">
        <v>1811031</v>
      </c>
      <c r="D34" s="16" t="s">
        <v>599</v>
      </c>
      <c r="E34" s="55"/>
      <c r="F34" s="55">
        <v>100100</v>
      </c>
    </row>
    <row r="35" spans="2:6" ht="15.75">
      <c r="B35" s="14">
        <v>43420</v>
      </c>
      <c r="C35" s="15">
        <v>1811032</v>
      </c>
      <c r="D35" s="16" t="s">
        <v>600</v>
      </c>
      <c r="E35" s="55">
        <f>5664+7534+17172+31724+142855+5192</f>
        <v>210141</v>
      </c>
      <c r="F35" s="55"/>
    </row>
    <row r="36" spans="2:6" ht="15.75">
      <c r="B36" s="14">
        <v>43421</v>
      </c>
      <c r="C36" s="15">
        <v>1811033</v>
      </c>
      <c r="D36" s="16" t="s">
        <v>601</v>
      </c>
      <c r="E36" s="55">
        <f>34025+7121+7322</f>
        <v>48468</v>
      </c>
      <c r="F36" s="55"/>
    </row>
    <row r="37" spans="2:6" ht="15.75">
      <c r="B37" s="14">
        <v>43421</v>
      </c>
      <c r="C37" s="15">
        <v>1811034</v>
      </c>
      <c r="D37" s="16" t="s">
        <v>412</v>
      </c>
      <c r="E37" s="55"/>
      <c r="F37" s="55">
        <v>2000</v>
      </c>
    </row>
    <row r="38" spans="2:6" ht="15.75">
      <c r="B38" s="14">
        <v>43421</v>
      </c>
      <c r="C38" s="15">
        <v>1811035</v>
      </c>
      <c r="D38" s="16" t="s">
        <v>602</v>
      </c>
      <c r="E38" s="55"/>
      <c r="F38" s="55">
        <v>18000</v>
      </c>
    </row>
    <row r="39" spans="2:6" ht="15.75">
      <c r="B39" s="14">
        <v>43423</v>
      </c>
      <c r="C39" s="15">
        <v>1811036</v>
      </c>
      <c r="D39" s="16" t="s">
        <v>603</v>
      </c>
      <c r="E39" s="55"/>
      <c r="F39" s="55">
        <v>30100</v>
      </c>
    </row>
    <row r="40" spans="2:6" ht="15.75">
      <c r="B40" s="14">
        <v>43425</v>
      </c>
      <c r="C40" s="15">
        <v>1811037</v>
      </c>
      <c r="D40" s="16" t="s">
        <v>604</v>
      </c>
      <c r="E40" s="55"/>
      <c r="F40" s="55">
        <v>150000</v>
      </c>
    </row>
    <row r="41" spans="2:6" ht="15.75">
      <c r="B41" s="14">
        <v>43425</v>
      </c>
      <c r="C41" s="15">
        <v>1811038</v>
      </c>
      <c r="D41" s="16" t="s">
        <v>605</v>
      </c>
      <c r="E41" s="55"/>
      <c r="F41" s="55">
        <v>15000</v>
      </c>
    </row>
    <row r="42" spans="2:6" ht="15.75">
      <c r="B42" s="14">
        <v>43425</v>
      </c>
      <c r="C42" s="15">
        <v>1811039</v>
      </c>
      <c r="D42" s="16" t="s">
        <v>597</v>
      </c>
      <c r="E42" s="55">
        <v>300000</v>
      </c>
      <c r="F42" s="55"/>
    </row>
    <row r="43" spans="2:6" ht="15.75">
      <c r="B43" s="14">
        <v>43425</v>
      </c>
      <c r="C43" s="15">
        <v>1811040</v>
      </c>
      <c r="D43" s="16" t="s">
        <v>606</v>
      </c>
      <c r="E43" s="55">
        <f>3021+3564+11635+8826+33140+19428+8124+4413</f>
        <v>92151</v>
      </c>
      <c r="F43" s="55"/>
    </row>
    <row r="44" spans="2:6" ht="15.75">
      <c r="B44" s="14">
        <v>43426</v>
      </c>
      <c r="C44" s="15">
        <v>1811041</v>
      </c>
      <c r="D44" s="16" t="s">
        <v>32</v>
      </c>
      <c r="E44" s="55"/>
      <c r="F44" s="55">
        <v>30000</v>
      </c>
    </row>
    <row r="45" spans="2:6" ht="15.75">
      <c r="B45" s="14">
        <v>43427</v>
      </c>
      <c r="C45" s="15">
        <v>1811042</v>
      </c>
      <c r="D45" s="16" t="s">
        <v>607</v>
      </c>
      <c r="E45" s="55">
        <f>21095+10130+29600+4514+29187+30686+3658</f>
        <v>128870</v>
      </c>
      <c r="F45" s="55"/>
    </row>
    <row r="46" spans="2:6" ht="15.75">
      <c r="B46" s="14">
        <v>43430</v>
      </c>
      <c r="C46" s="15">
        <v>1811043</v>
      </c>
      <c r="D46" s="16" t="s">
        <v>608</v>
      </c>
      <c r="E46" s="55"/>
      <c r="F46" s="55">
        <v>12500</v>
      </c>
    </row>
    <row r="47" spans="2:6" ht="15.75">
      <c r="B47" s="14">
        <v>43430</v>
      </c>
      <c r="C47" s="15">
        <v>1811044</v>
      </c>
      <c r="D47" s="16" t="s">
        <v>258</v>
      </c>
      <c r="E47" s="55"/>
      <c r="F47" s="55">
        <v>3000</v>
      </c>
    </row>
    <row r="48" spans="2:6" ht="15.75">
      <c r="B48" s="14">
        <v>43430</v>
      </c>
      <c r="C48" s="15">
        <v>1811045</v>
      </c>
      <c r="D48" s="16" t="s">
        <v>609</v>
      </c>
      <c r="E48" s="55"/>
      <c r="F48" s="55">
        <v>12500</v>
      </c>
    </row>
    <row r="49" spans="2:8" ht="15.75">
      <c r="B49" s="14">
        <v>43430</v>
      </c>
      <c r="C49" s="15">
        <v>1811046</v>
      </c>
      <c r="D49" s="16" t="s">
        <v>610</v>
      </c>
      <c r="E49" s="55">
        <f>186940+188512+5074+8149+10130+201109+21665+147207+12859</f>
        <v>781645</v>
      </c>
      <c r="F49" s="55"/>
    </row>
    <row r="50" spans="2:8" ht="15.75">
      <c r="B50" s="14">
        <v>43432</v>
      </c>
      <c r="C50" s="15">
        <v>1811047</v>
      </c>
      <c r="D50" s="16" t="s">
        <v>611</v>
      </c>
      <c r="E50" s="55"/>
      <c r="F50" s="55">
        <v>142500</v>
      </c>
    </row>
    <row r="51" spans="2:8" ht="15.75">
      <c r="B51" s="14">
        <v>43432</v>
      </c>
      <c r="C51" s="15">
        <v>1811048</v>
      </c>
      <c r="D51" s="16" t="s">
        <v>612</v>
      </c>
      <c r="E51" s="55"/>
      <c r="F51" s="55">
        <v>96716</v>
      </c>
    </row>
    <row r="52" spans="2:8" ht="15.75">
      <c r="B52" s="14">
        <v>43432</v>
      </c>
      <c r="C52" s="15">
        <v>1811049</v>
      </c>
      <c r="D52" s="16" t="s">
        <v>613</v>
      </c>
      <c r="E52" s="55">
        <f>4708+15898+17387+15346+8877+4248</f>
        <v>66464</v>
      </c>
      <c r="F52" s="55"/>
    </row>
    <row r="53" spans="2:8" ht="15.75">
      <c r="B53" s="14">
        <v>43432</v>
      </c>
      <c r="C53" s="15">
        <v>1811050</v>
      </c>
      <c r="D53" s="16" t="s">
        <v>614</v>
      </c>
      <c r="E53" s="55">
        <v>24774</v>
      </c>
      <c r="F53" s="55"/>
    </row>
    <row r="54" spans="2:8" ht="15.75">
      <c r="B54" s="14">
        <v>43433</v>
      </c>
      <c r="C54" s="15">
        <v>1811051</v>
      </c>
      <c r="D54" s="16" t="s">
        <v>615</v>
      </c>
      <c r="E54" s="55">
        <f>14581+11926+183636+2891+18130+66180+76480</f>
        <v>373824</v>
      </c>
      <c r="F54" s="55"/>
    </row>
    <row r="55" spans="2:8" ht="15.75">
      <c r="B55" s="14">
        <v>43434</v>
      </c>
      <c r="C55" s="15">
        <v>1811052</v>
      </c>
      <c r="D55" s="16" t="s">
        <v>616</v>
      </c>
      <c r="E55" s="55"/>
      <c r="F55" s="55">
        <v>14000</v>
      </c>
    </row>
    <row r="56" spans="2:8" ht="15.75">
      <c r="B56" s="14">
        <v>43434</v>
      </c>
      <c r="C56" s="15">
        <v>1811053</v>
      </c>
      <c r="D56" s="16" t="s">
        <v>541</v>
      </c>
      <c r="E56" s="55"/>
      <c r="F56" s="55">
        <v>6000</v>
      </c>
    </row>
    <row r="57" spans="2:8" ht="15.75">
      <c r="B57" s="14">
        <v>43434</v>
      </c>
      <c r="C57" s="15">
        <v>1811054</v>
      </c>
      <c r="D57" s="16" t="s">
        <v>617</v>
      </c>
      <c r="E57" s="55">
        <v>2006</v>
      </c>
      <c r="F57" s="55"/>
      <c r="H57" s="32"/>
    </row>
    <row r="58" spans="2:8" ht="15.75">
      <c r="B58" s="14">
        <v>43434</v>
      </c>
      <c r="C58" s="15">
        <v>1811055</v>
      </c>
      <c r="D58" s="35" t="s">
        <v>626</v>
      </c>
      <c r="E58" s="55"/>
      <c r="F58" s="55">
        <v>700000</v>
      </c>
      <c r="H58" s="32"/>
    </row>
    <row r="59" spans="2:8" ht="15.75">
      <c r="B59" s="18"/>
      <c r="C59" s="19"/>
      <c r="D59" s="20"/>
      <c r="E59" s="66">
        <f>SUM(E3:E58)</f>
        <v>3543209</v>
      </c>
      <c r="F59" s="66">
        <f>SUM(F3:F58)</f>
        <v>2068656</v>
      </c>
    </row>
    <row r="60" spans="2:8">
      <c r="B60" s="5"/>
      <c r="C60" s="27"/>
      <c r="F60" s="64"/>
    </row>
    <row r="61" spans="2:8">
      <c r="B61" s="5"/>
      <c r="C61" s="27"/>
      <c r="E61" s="21" t="s">
        <v>6</v>
      </c>
      <c r="F61" s="55">
        <f>E59-F59</f>
        <v>1474553</v>
      </c>
    </row>
  </sheetData>
  <printOptions horizontalCentered="1" verticalCentered="1"/>
  <pageMargins left="0" right="0" top="0" bottom="0" header="0" footer="0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F89"/>
  <sheetViews>
    <sheetView tabSelected="1" topLeftCell="A67" workbookViewId="0">
      <selection activeCell="E83" sqref="E83:E84"/>
    </sheetView>
  </sheetViews>
  <sheetFormatPr baseColWidth="10" defaultRowHeight="15"/>
  <cols>
    <col min="3" max="3" width="12.42578125" customWidth="1"/>
    <col min="4" max="4" width="49.28515625" bestFit="1" customWidth="1"/>
    <col min="5" max="6" width="14.140625" bestFit="1" customWidth="1"/>
    <col min="10" max="10" width="23.5703125" bestFit="1" customWidth="1"/>
    <col min="11" max="11" width="14.140625" bestFit="1" customWidth="1"/>
    <col min="13" max="13" width="12.710937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43435</v>
      </c>
      <c r="C3" s="22"/>
      <c r="D3" s="8" t="s">
        <v>572</v>
      </c>
      <c r="E3" s="55">
        <f>'NOVEMBRE 2018'!F61</f>
        <v>1474553</v>
      </c>
      <c r="F3" s="24"/>
    </row>
    <row r="4" spans="2:6" ht="15.75">
      <c r="B4" s="14">
        <v>43437</v>
      </c>
      <c r="C4" s="15">
        <v>1812001</v>
      </c>
      <c r="D4" s="16" t="s">
        <v>618</v>
      </c>
      <c r="E4" s="55"/>
      <c r="F4" s="55">
        <v>60000</v>
      </c>
    </row>
    <row r="5" spans="2:6" ht="15.75">
      <c r="B5" s="14">
        <v>43437</v>
      </c>
      <c r="C5" s="15">
        <v>1812002</v>
      </c>
      <c r="D5" s="16" t="s">
        <v>619</v>
      </c>
      <c r="E5" s="55"/>
      <c r="F5" s="55">
        <v>88000</v>
      </c>
    </row>
    <row r="6" spans="2:6" ht="15.75">
      <c r="B6" s="14">
        <v>43437</v>
      </c>
      <c r="C6" s="15">
        <v>1812003</v>
      </c>
      <c r="D6" s="16" t="s">
        <v>620</v>
      </c>
      <c r="E6" s="55">
        <v>294000</v>
      </c>
      <c r="F6" s="55"/>
    </row>
    <row r="7" spans="2:6" ht="15.75">
      <c r="B7" s="14">
        <v>43437</v>
      </c>
      <c r="C7" s="15">
        <v>1812004</v>
      </c>
      <c r="D7" s="16" t="s">
        <v>621</v>
      </c>
      <c r="E7" s="55">
        <f>42580</f>
        <v>42580</v>
      </c>
      <c r="F7" s="55"/>
    </row>
    <row r="8" spans="2:6" ht="15.75">
      <c r="B8" s="14">
        <v>43437</v>
      </c>
      <c r="C8" s="15">
        <v>1812005</v>
      </c>
      <c r="D8" s="16" t="s">
        <v>622</v>
      </c>
      <c r="E8" s="55">
        <f>11605+15145+3511+18036+5777+13140+17151+9378</f>
        <v>93743</v>
      </c>
      <c r="F8" s="55"/>
    </row>
    <row r="9" spans="2:6" ht="15.75">
      <c r="B9" s="14">
        <v>43438</v>
      </c>
      <c r="C9" s="15">
        <v>1812006</v>
      </c>
      <c r="D9" s="16" t="s">
        <v>623</v>
      </c>
      <c r="E9" s="55"/>
      <c r="F9" s="55">
        <v>120000</v>
      </c>
    </row>
    <row r="10" spans="2:6" ht="15.75">
      <c r="B10" s="14">
        <v>43438</v>
      </c>
      <c r="C10" s="15">
        <v>1812007</v>
      </c>
      <c r="D10" s="16" t="s">
        <v>624</v>
      </c>
      <c r="E10" s="55"/>
      <c r="F10" s="55">
        <v>14000</v>
      </c>
    </row>
    <row r="11" spans="2:6" ht="15.75">
      <c r="B11" s="6">
        <v>43438</v>
      </c>
      <c r="C11" s="15">
        <v>1812008</v>
      </c>
      <c r="D11" s="37" t="s">
        <v>625</v>
      </c>
      <c r="E11" s="65"/>
      <c r="F11" s="65">
        <v>12000</v>
      </c>
    </row>
    <row r="12" spans="2:6" ht="15.75">
      <c r="B12" s="6">
        <v>43438</v>
      </c>
      <c r="C12" s="15">
        <v>1812009</v>
      </c>
      <c r="D12" s="35" t="s">
        <v>626</v>
      </c>
      <c r="E12" s="65"/>
      <c r="F12" s="65">
        <v>526000</v>
      </c>
    </row>
    <row r="13" spans="2:6" ht="15.75">
      <c r="B13" s="14">
        <v>43439</v>
      </c>
      <c r="C13" s="15">
        <v>1812010</v>
      </c>
      <c r="D13" s="39" t="s">
        <v>627</v>
      </c>
      <c r="E13" s="55"/>
      <c r="F13" s="55">
        <v>8000</v>
      </c>
    </row>
    <row r="14" spans="2:6" ht="15.75">
      <c r="B14" s="14">
        <v>43439</v>
      </c>
      <c r="C14" s="15">
        <v>1812011</v>
      </c>
      <c r="D14" s="39" t="s">
        <v>628</v>
      </c>
      <c r="E14" s="55"/>
      <c r="F14" s="55">
        <v>40000</v>
      </c>
    </row>
    <row r="15" spans="2:6" ht="15.75">
      <c r="B15" s="14">
        <v>43439</v>
      </c>
      <c r="C15" s="15">
        <v>1812012</v>
      </c>
      <c r="D15" s="39" t="s">
        <v>629</v>
      </c>
      <c r="E15" s="55"/>
      <c r="F15" s="55">
        <v>15000</v>
      </c>
    </row>
    <row r="16" spans="2:6" ht="15.75">
      <c r="B16" s="14">
        <v>43439</v>
      </c>
      <c r="C16" s="15">
        <v>1812013</v>
      </c>
      <c r="D16" s="39" t="s">
        <v>630</v>
      </c>
      <c r="E16" s="55"/>
      <c r="F16" s="55">
        <v>2500</v>
      </c>
    </row>
    <row r="17" spans="2:6" ht="15.75">
      <c r="B17" s="14">
        <v>43439</v>
      </c>
      <c r="C17" s="15">
        <v>1812014</v>
      </c>
      <c r="D17" s="39" t="s">
        <v>631</v>
      </c>
      <c r="E17" s="55"/>
      <c r="F17" s="55">
        <v>70100</v>
      </c>
    </row>
    <row r="18" spans="2:6" ht="15.75">
      <c r="B18" s="14">
        <v>43439</v>
      </c>
      <c r="C18" s="15">
        <v>1812015</v>
      </c>
      <c r="D18" s="39" t="s">
        <v>632</v>
      </c>
      <c r="E18" s="55">
        <f>38274+1558+2124+8832+3540+74865</f>
        <v>129193</v>
      </c>
      <c r="F18" s="55"/>
    </row>
    <row r="19" spans="2:6" ht="15.75">
      <c r="B19" s="14">
        <v>43439</v>
      </c>
      <c r="C19" s="15">
        <v>1812016</v>
      </c>
      <c r="D19" s="39" t="s">
        <v>633</v>
      </c>
      <c r="E19" s="55"/>
      <c r="F19" s="55">
        <v>35000</v>
      </c>
    </row>
    <row r="20" spans="2:6" ht="15.75">
      <c r="B20" s="14">
        <v>43440</v>
      </c>
      <c r="C20" s="15">
        <v>1812017</v>
      </c>
      <c r="D20" s="39" t="s">
        <v>248</v>
      </c>
      <c r="E20" s="55"/>
      <c r="F20" s="55">
        <v>27000</v>
      </c>
    </row>
    <row r="21" spans="2:6" ht="15.75">
      <c r="B21" s="14">
        <v>43440</v>
      </c>
      <c r="C21" s="15">
        <v>1812018</v>
      </c>
      <c r="D21" s="39" t="s">
        <v>634</v>
      </c>
      <c r="E21" s="55">
        <f>4932+28538+22417+3186+10583</f>
        <v>69656</v>
      </c>
      <c r="F21" s="55"/>
    </row>
    <row r="22" spans="2:6" ht="15.75">
      <c r="B22" s="14">
        <v>43440</v>
      </c>
      <c r="C22" s="15">
        <v>1812019</v>
      </c>
      <c r="D22" s="39" t="s">
        <v>635</v>
      </c>
      <c r="E22" s="55"/>
      <c r="F22" s="55">
        <v>140000</v>
      </c>
    </row>
    <row r="23" spans="2:6" ht="15.75">
      <c r="B23" s="14">
        <v>43440</v>
      </c>
      <c r="C23" s="15">
        <v>1812020</v>
      </c>
      <c r="D23" s="39" t="s">
        <v>633</v>
      </c>
      <c r="E23" s="55"/>
      <c r="F23" s="55">
        <v>15000</v>
      </c>
    </row>
    <row r="24" spans="2:6" ht="15.75">
      <c r="B24" s="14">
        <v>43440</v>
      </c>
      <c r="C24" s="15">
        <v>1812021</v>
      </c>
      <c r="D24" s="39" t="s">
        <v>636</v>
      </c>
      <c r="E24" s="55"/>
      <c r="F24" s="55">
        <v>5000</v>
      </c>
    </row>
    <row r="25" spans="2:6" ht="15.75">
      <c r="B25" s="14">
        <v>43440</v>
      </c>
      <c r="C25" s="15">
        <v>1812022</v>
      </c>
      <c r="D25" s="39" t="s">
        <v>637</v>
      </c>
      <c r="E25" s="55"/>
      <c r="F25" s="55">
        <v>15000</v>
      </c>
    </row>
    <row r="26" spans="2:6" ht="15.75">
      <c r="B26" s="14">
        <v>43441</v>
      </c>
      <c r="C26" s="15">
        <v>1812023</v>
      </c>
      <c r="D26" s="39" t="s">
        <v>633</v>
      </c>
      <c r="E26" s="55"/>
      <c r="F26" s="55">
        <v>12000</v>
      </c>
    </row>
    <row r="27" spans="2:6" ht="15.75">
      <c r="B27" s="14">
        <v>43442</v>
      </c>
      <c r="C27" s="15">
        <v>1812024</v>
      </c>
      <c r="D27" s="39" t="s">
        <v>638</v>
      </c>
      <c r="E27" s="55"/>
      <c r="F27" s="55">
        <f>2000+1500+2000+2000+1000+7000+500+2000+2000+4000+4000</f>
        <v>28000</v>
      </c>
    </row>
    <row r="28" spans="2:6" ht="15.75">
      <c r="B28" s="14">
        <v>43444</v>
      </c>
      <c r="C28" s="15">
        <v>1812025</v>
      </c>
      <c r="D28" s="39" t="s">
        <v>619</v>
      </c>
      <c r="E28" s="55"/>
      <c r="F28" s="55">
        <v>50000</v>
      </c>
    </row>
    <row r="29" spans="2:6" ht="15.75">
      <c r="B29" s="14">
        <v>43444</v>
      </c>
      <c r="C29" s="15">
        <v>1812026</v>
      </c>
      <c r="D29" s="39" t="s">
        <v>639</v>
      </c>
      <c r="E29" s="55"/>
      <c r="F29" s="55">
        <v>30904</v>
      </c>
    </row>
    <row r="30" spans="2:6" ht="15.75">
      <c r="B30" s="14">
        <v>43444</v>
      </c>
      <c r="C30" s="15">
        <v>1812027</v>
      </c>
      <c r="D30" s="39" t="s">
        <v>640</v>
      </c>
      <c r="E30" s="55"/>
      <c r="F30" s="55">
        <v>20000</v>
      </c>
    </row>
    <row r="31" spans="2:6" ht="15.75">
      <c r="B31" s="67">
        <v>43444</v>
      </c>
      <c r="C31" s="15">
        <v>1812028</v>
      </c>
      <c r="D31" s="68" t="s">
        <v>641</v>
      </c>
      <c r="E31" s="69"/>
      <c r="F31" s="69">
        <v>19200</v>
      </c>
    </row>
    <row r="32" spans="2:6" ht="15.75">
      <c r="B32" s="14">
        <v>43445</v>
      </c>
      <c r="C32" s="15">
        <v>1812029</v>
      </c>
      <c r="D32" s="39" t="s">
        <v>642</v>
      </c>
      <c r="E32" s="55"/>
      <c r="F32" s="55">
        <v>21000</v>
      </c>
    </row>
    <row r="33" spans="2:6" ht="15.75">
      <c r="B33" s="14">
        <v>43445</v>
      </c>
      <c r="C33" s="15">
        <v>1812030</v>
      </c>
      <c r="D33" s="39" t="s">
        <v>643</v>
      </c>
      <c r="E33" s="55"/>
      <c r="F33" s="55">
        <v>36000</v>
      </c>
    </row>
    <row r="34" spans="2:6" ht="15.75">
      <c r="B34" s="14">
        <v>43445</v>
      </c>
      <c r="C34" s="15">
        <v>1812031</v>
      </c>
      <c r="D34" s="39" t="s">
        <v>467</v>
      </c>
      <c r="E34" s="55"/>
      <c r="F34" s="55">
        <v>30100</v>
      </c>
    </row>
    <row r="35" spans="2:6" ht="15.75">
      <c r="B35" s="14">
        <v>43445</v>
      </c>
      <c r="C35" s="15">
        <v>1812032</v>
      </c>
      <c r="D35" s="39" t="s">
        <v>644</v>
      </c>
      <c r="E35" s="55">
        <v>6708</v>
      </c>
      <c r="F35" s="55"/>
    </row>
    <row r="36" spans="2:6" ht="15.75">
      <c r="B36" s="14">
        <v>43445</v>
      </c>
      <c r="C36" s="15">
        <v>1812033</v>
      </c>
      <c r="D36" s="39" t="s">
        <v>439</v>
      </c>
      <c r="E36" s="55"/>
      <c r="F36" s="55">
        <v>10000</v>
      </c>
    </row>
    <row r="37" spans="2:6" ht="15.75">
      <c r="B37" s="14">
        <v>43445</v>
      </c>
      <c r="C37" s="15">
        <v>1812034</v>
      </c>
      <c r="D37" s="39" t="s">
        <v>631</v>
      </c>
      <c r="E37" s="55"/>
      <c r="F37" s="55">
        <v>12950</v>
      </c>
    </row>
    <row r="38" spans="2:6" ht="15.75">
      <c r="B38" s="14">
        <v>43446</v>
      </c>
      <c r="C38" s="15">
        <v>1812035</v>
      </c>
      <c r="D38" s="39" t="s">
        <v>645</v>
      </c>
      <c r="E38" s="55"/>
      <c r="F38" s="55">
        <v>10000</v>
      </c>
    </row>
    <row r="39" spans="2:6" ht="15.75">
      <c r="B39" s="14">
        <v>43446</v>
      </c>
      <c r="C39" s="15">
        <v>1812036</v>
      </c>
      <c r="D39" s="39" t="s">
        <v>646</v>
      </c>
      <c r="E39" s="55">
        <f>5145+9629+16252+11750+14458+8080+1935+30780</f>
        <v>98029</v>
      </c>
      <c r="F39" s="55"/>
    </row>
    <row r="40" spans="2:6" ht="15.75">
      <c r="B40" s="14">
        <v>43446</v>
      </c>
      <c r="C40" s="15">
        <v>1812037</v>
      </c>
      <c r="D40" s="39" t="s">
        <v>647</v>
      </c>
      <c r="E40" s="55">
        <f>69748+159375+7623+23169+36916+3894</f>
        <v>300725</v>
      </c>
      <c r="F40" s="55"/>
    </row>
    <row r="41" spans="2:6" ht="15.75">
      <c r="B41" s="14">
        <v>43446</v>
      </c>
      <c r="C41" s="15">
        <v>1812038</v>
      </c>
      <c r="D41" s="39" t="s">
        <v>648</v>
      </c>
      <c r="E41" s="55">
        <f>12938+52728+5570+12844</f>
        <v>84080</v>
      </c>
      <c r="F41" s="55"/>
    </row>
    <row r="42" spans="2:6" ht="15.75">
      <c r="B42" s="14">
        <v>43446</v>
      </c>
      <c r="C42" s="15">
        <v>1812039</v>
      </c>
      <c r="D42" s="39" t="s">
        <v>649</v>
      </c>
      <c r="E42" s="55">
        <f>50100+1652+21665</f>
        <v>73417</v>
      </c>
      <c r="F42" s="55"/>
    </row>
    <row r="43" spans="2:6" ht="15.75">
      <c r="B43" s="14">
        <v>43447</v>
      </c>
      <c r="C43" s="15">
        <v>1812040</v>
      </c>
      <c r="D43" s="39" t="s">
        <v>636</v>
      </c>
      <c r="E43" s="55"/>
      <c r="F43" s="55">
        <v>5000</v>
      </c>
    </row>
    <row r="44" spans="2:6" ht="15.75">
      <c r="B44" s="14">
        <v>43448</v>
      </c>
      <c r="C44" s="15">
        <v>1812041</v>
      </c>
      <c r="D44" s="39" t="s">
        <v>633</v>
      </c>
      <c r="E44" s="55"/>
      <c r="F44" s="55">
        <v>30000</v>
      </c>
    </row>
    <row r="45" spans="2:6" ht="15.75">
      <c r="B45" s="14">
        <v>43448</v>
      </c>
      <c r="C45" s="15">
        <v>1812042</v>
      </c>
      <c r="D45" s="39" t="s">
        <v>650</v>
      </c>
      <c r="E45" s="55"/>
      <c r="F45" s="55">
        <v>4800</v>
      </c>
    </row>
    <row r="46" spans="2:6" ht="15.75">
      <c r="B46" s="14">
        <v>43448</v>
      </c>
      <c r="C46" s="15">
        <v>1812043</v>
      </c>
      <c r="D46" s="39" t="s">
        <v>651</v>
      </c>
      <c r="E46" s="55"/>
      <c r="F46" s="55">
        <v>7500</v>
      </c>
    </row>
    <row r="47" spans="2:6" ht="15.75">
      <c r="B47" s="14">
        <v>43448</v>
      </c>
      <c r="C47" s="15">
        <v>1812044</v>
      </c>
      <c r="D47" s="39" t="s">
        <v>652</v>
      </c>
      <c r="E47" s="55">
        <v>200000</v>
      </c>
      <c r="F47" s="55"/>
    </row>
    <row r="48" spans="2:6" ht="15.75">
      <c r="B48" s="14">
        <v>43448</v>
      </c>
      <c r="C48" s="15">
        <v>1812045</v>
      </c>
      <c r="D48" s="39" t="s">
        <v>653</v>
      </c>
      <c r="E48" s="55">
        <v>8024</v>
      </c>
      <c r="F48" s="55"/>
    </row>
    <row r="49" spans="2:6" ht="15.75">
      <c r="B49" s="14">
        <v>43448</v>
      </c>
      <c r="C49" s="15">
        <v>1812046</v>
      </c>
      <c r="D49" s="39" t="s">
        <v>524</v>
      </c>
      <c r="E49" s="55"/>
      <c r="F49" s="55">
        <v>1500</v>
      </c>
    </row>
    <row r="50" spans="2:6" ht="15.75">
      <c r="B50" s="14">
        <v>43448</v>
      </c>
      <c r="C50" s="15">
        <v>1812047</v>
      </c>
      <c r="D50" s="39" t="s">
        <v>439</v>
      </c>
      <c r="E50" s="55"/>
      <c r="F50" s="55">
        <v>10000</v>
      </c>
    </row>
    <row r="51" spans="2:6" ht="15.75">
      <c r="B51" s="14">
        <v>43448</v>
      </c>
      <c r="C51" s="15">
        <v>1812048</v>
      </c>
      <c r="D51" s="39" t="s">
        <v>654</v>
      </c>
      <c r="E51" s="55">
        <f>18980+46120+20726+11900+66180</f>
        <v>163906</v>
      </c>
      <c r="F51" s="55"/>
    </row>
    <row r="52" spans="2:6" ht="15.75">
      <c r="B52" s="14">
        <v>43448</v>
      </c>
      <c r="C52" s="15">
        <v>1812049</v>
      </c>
      <c r="D52" s="39" t="s">
        <v>655</v>
      </c>
      <c r="E52" s="55">
        <f>4779+15446+146924+74883+22237+15440+22166+9021</f>
        <v>310896</v>
      </c>
      <c r="F52" s="55"/>
    </row>
    <row r="53" spans="2:6" ht="15.75">
      <c r="B53" s="14">
        <v>43449</v>
      </c>
      <c r="C53" s="15">
        <v>1812050</v>
      </c>
      <c r="D53" s="39" t="s">
        <v>656</v>
      </c>
      <c r="E53" s="55"/>
      <c r="F53" s="55">
        <v>48000</v>
      </c>
    </row>
    <row r="54" spans="2:6" ht="15.75">
      <c r="B54" s="14">
        <v>43451</v>
      </c>
      <c r="C54" s="15">
        <v>1812051</v>
      </c>
      <c r="D54" s="39" t="s">
        <v>657</v>
      </c>
      <c r="E54" s="55"/>
      <c r="F54" s="55">
        <v>50000</v>
      </c>
    </row>
    <row r="55" spans="2:6" ht="15.75">
      <c r="B55" s="14">
        <v>43451</v>
      </c>
      <c r="C55" s="15">
        <v>1812052</v>
      </c>
      <c r="D55" s="39" t="s">
        <v>658</v>
      </c>
      <c r="E55" s="55"/>
      <c r="F55" s="55">
        <v>20000</v>
      </c>
    </row>
    <row r="56" spans="2:6" ht="15.75">
      <c r="B56" s="14">
        <v>43451</v>
      </c>
      <c r="C56" s="15">
        <v>1812053</v>
      </c>
      <c r="D56" s="39" t="s">
        <v>659</v>
      </c>
      <c r="E56" s="55">
        <v>8118</v>
      </c>
      <c r="F56" s="55"/>
    </row>
    <row r="57" spans="2:6" ht="15.75">
      <c r="B57" s="14">
        <v>43452</v>
      </c>
      <c r="C57" s="15">
        <v>1812054</v>
      </c>
      <c r="D57" s="39" t="s">
        <v>660</v>
      </c>
      <c r="E57" s="55">
        <f>25730+13390+27311+2360+15015</f>
        <v>83806</v>
      </c>
      <c r="F57" s="55"/>
    </row>
    <row r="58" spans="2:6" ht="15.75">
      <c r="B58" s="14">
        <v>43452</v>
      </c>
      <c r="C58" s="15">
        <v>1812055</v>
      </c>
      <c r="D58" s="39" t="s">
        <v>661</v>
      </c>
      <c r="E58" s="55"/>
      <c r="F58" s="55">
        <v>14950</v>
      </c>
    </row>
    <row r="59" spans="2:6" ht="15.75">
      <c r="B59" s="14">
        <v>43452</v>
      </c>
      <c r="C59" s="15">
        <v>1812056</v>
      </c>
      <c r="D59" s="39" t="s">
        <v>439</v>
      </c>
      <c r="E59" s="55"/>
      <c r="F59" s="55">
        <v>15000</v>
      </c>
    </row>
    <row r="60" spans="2:6" ht="15.75">
      <c r="B60" s="14">
        <v>43452</v>
      </c>
      <c r="C60" s="15">
        <v>1812057</v>
      </c>
      <c r="D60" s="39" t="s">
        <v>662</v>
      </c>
      <c r="E60" s="55"/>
      <c r="F60" s="55">
        <v>14000</v>
      </c>
    </row>
    <row r="61" spans="2:6" ht="15.75">
      <c r="B61" s="14">
        <v>43453</v>
      </c>
      <c r="C61" s="15">
        <v>1812058</v>
      </c>
      <c r="D61" s="39" t="s">
        <v>663</v>
      </c>
      <c r="E61" s="55"/>
      <c r="F61" s="55">
        <v>500</v>
      </c>
    </row>
    <row r="62" spans="2:6" ht="15.75">
      <c r="B62" s="14">
        <v>43453</v>
      </c>
      <c r="C62" s="15">
        <v>1812059</v>
      </c>
      <c r="D62" s="39" t="s">
        <v>664</v>
      </c>
      <c r="E62" s="55"/>
      <c r="F62" s="55">
        <v>2145</v>
      </c>
    </row>
    <row r="63" spans="2:6" ht="15.75">
      <c r="B63" s="14">
        <v>43453</v>
      </c>
      <c r="C63" s="15">
        <v>1812060</v>
      </c>
      <c r="D63" s="39" t="s">
        <v>439</v>
      </c>
      <c r="E63" s="55"/>
      <c r="F63" s="55">
        <v>5000</v>
      </c>
    </row>
    <row r="64" spans="2:6" ht="15.75">
      <c r="B64" s="14">
        <v>43454</v>
      </c>
      <c r="C64" s="15">
        <v>1812061</v>
      </c>
      <c r="D64" s="39" t="s">
        <v>665</v>
      </c>
      <c r="E64" s="55"/>
      <c r="F64" s="55">
        <v>30100</v>
      </c>
    </row>
    <row r="65" spans="2:6" ht="15.75">
      <c r="B65" s="14">
        <v>43454</v>
      </c>
      <c r="C65" s="15">
        <v>1812062</v>
      </c>
      <c r="D65" s="39" t="s">
        <v>666</v>
      </c>
      <c r="E65" s="55"/>
      <c r="F65" s="55">
        <v>2000</v>
      </c>
    </row>
    <row r="66" spans="2:6" ht="15.75">
      <c r="B66" s="14">
        <v>43454</v>
      </c>
      <c r="C66" s="15">
        <v>1812063</v>
      </c>
      <c r="D66" s="39" t="s">
        <v>439</v>
      </c>
      <c r="E66" s="55"/>
      <c r="F66" s="55">
        <v>15000</v>
      </c>
    </row>
    <row r="67" spans="2:6" ht="15.75">
      <c r="B67" s="14">
        <v>43454</v>
      </c>
      <c r="C67" s="15">
        <v>1812064</v>
      </c>
      <c r="D67" s="39" t="s">
        <v>667</v>
      </c>
      <c r="E67" s="55">
        <f>3115+20034+15000+9682+4154+12372+23204</f>
        <v>87561</v>
      </c>
      <c r="F67" s="55"/>
    </row>
    <row r="68" spans="2:6" ht="15.75">
      <c r="B68" s="14">
        <v>43455</v>
      </c>
      <c r="C68" s="15">
        <v>1812065</v>
      </c>
      <c r="D68" s="39" t="s">
        <v>627</v>
      </c>
      <c r="E68" s="55"/>
      <c r="F68" s="55">
        <v>5000</v>
      </c>
    </row>
    <row r="69" spans="2:6" ht="15.75">
      <c r="B69" s="14">
        <v>43456</v>
      </c>
      <c r="C69" s="15">
        <v>1812066</v>
      </c>
      <c r="D69" s="39" t="s">
        <v>668</v>
      </c>
      <c r="E69" s="55"/>
      <c r="F69" s="55">
        <v>14000</v>
      </c>
    </row>
    <row r="70" spans="2:6" ht="15.75">
      <c r="B70" s="14">
        <v>43458</v>
      </c>
      <c r="C70" s="15">
        <v>1812067</v>
      </c>
      <c r="D70" s="39" t="s">
        <v>669</v>
      </c>
      <c r="E70" s="55"/>
      <c r="F70" s="55">
        <v>14962</v>
      </c>
    </row>
    <row r="71" spans="2:6" ht="15.75">
      <c r="B71" s="14">
        <v>43458</v>
      </c>
      <c r="C71" s="15">
        <v>1812068</v>
      </c>
      <c r="D71" s="39" t="s">
        <v>619</v>
      </c>
      <c r="E71" s="55"/>
      <c r="F71" s="55">
        <v>120000</v>
      </c>
    </row>
    <row r="72" spans="2:6" ht="15.75">
      <c r="B72" s="14">
        <v>43458</v>
      </c>
      <c r="C72" s="15">
        <v>1812069</v>
      </c>
      <c r="D72" s="39" t="s">
        <v>670</v>
      </c>
      <c r="E72" s="55"/>
      <c r="F72" s="55">
        <v>114000</v>
      </c>
    </row>
    <row r="73" spans="2:6" ht="15.75">
      <c r="B73" s="14">
        <v>43458</v>
      </c>
      <c r="C73" s="15">
        <v>1812070</v>
      </c>
      <c r="D73" s="39" t="s">
        <v>671</v>
      </c>
      <c r="E73" s="55"/>
      <c r="F73" s="55">
        <v>62652</v>
      </c>
    </row>
    <row r="74" spans="2:6" ht="15.75">
      <c r="B74" s="14">
        <v>43458</v>
      </c>
      <c r="C74" s="15">
        <v>1812071</v>
      </c>
      <c r="D74" s="39" t="s">
        <v>633</v>
      </c>
      <c r="E74" s="55"/>
      <c r="F74" s="55">
        <v>15000</v>
      </c>
    </row>
    <row r="75" spans="2:6" ht="15.75">
      <c r="B75" s="14">
        <v>43458</v>
      </c>
      <c r="C75" s="15">
        <v>1812072</v>
      </c>
      <c r="D75" s="39" t="s">
        <v>672</v>
      </c>
      <c r="E75" s="55">
        <f>15647+62697+14904+23995+19216+24644+4505+4885+11428</f>
        <v>181921</v>
      </c>
      <c r="F75" s="55"/>
    </row>
    <row r="76" spans="2:6" ht="15.75">
      <c r="B76" s="14">
        <v>43460</v>
      </c>
      <c r="C76" s="15">
        <v>1812073</v>
      </c>
      <c r="D76" s="39" t="s">
        <v>439</v>
      </c>
      <c r="E76" s="55"/>
      <c r="F76" s="55">
        <v>20000</v>
      </c>
    </row>
    <row r="77" spans="2:6" ht="15.75">
      <c r="B77" s="14">
        <v>43460</v>
      </c>
      <c r="C77" s="15">
        <v>1812074</v>
      </c>
      <c r="D77" s="39" t="s">
        <v>565</v>
      </c>
      <c r="E77" s="55"/>
      <c r="F77" s="55">
        <v>12000</v>
      </c>
    </row>
    <row r="78" spans="2:6" ht="15.75">
      <c r="B78" s="14">
        <v>43461</v>
      </c>
      <c r="C78" s="15">
        <v>1812075</v>
      </c>
      <c r="D78" s="39" t="s">
        <v>673</v>
      </c>
      <c r="E78" s="55"/>
      <c r="F78" s="55">
        <v>98430</v>
      </c>
    </row>
    <row r="79" spans="2:6" ht="15.75">
      <c r="B79" s="14">
        <v>43461</v>
      </c>
      <c r="C79" s="15">
        <v>1812076</v>
      </c>
      <c r="D79" s="39" t="s">
        <v>674</v>
      </c>
      <c r="E79" s="55"/>
      <c r="F79" s="55">
        <v>49429</v>
      </c>
    </row>
    <row r="80" spans="2:6" ht="15.75">
      <c r="B80" s="14">
        <v>43461</v>
      </c>
      <c r="C80" s="15">
        <v>1812077</v>
      </c>
      <c r="D80" s="39" t="s">
        <v>675</v>
      </c>
      <c r="E80" s="55"/>
      <c r="F80" s="55">
        <v>40000</v>
      </c>
    </row>
    <row r="81" spans="2:6" ht="15.75">
      <c r="B81" s="14">
        <v>43461</v>
      </c>
      <c r="C81" s="15">
        <v>1812078</v>
      </c>
      <c r="D81" s="39" t="s">
        <v>676</v>
      </c>
      <c r="E81" s="55">
        <f>33603+4036+20703+9508+18451</f>
        <v>86301</v>
      </c>
      <c r="F81" s="55"/>
    </row>
    <row r="82" spans="2:6" ht="15.75">
      <c r="B82" s="14">
        <v>43461</v>
      </c>
      <c r="C82" s="15">
        <v>1812079</v>
      </c>
      <c r="D82" s="39" t="s">
        <v>677</v>
      </c>
      <c r="E82" s="55">
        <v>28420</v>
      </c>
      <c r="F82" s="55"/>
    </row>
    <row r="83" spans="2:6" ht="15.75">
      <c r="B83" s="14">
        <v>43462</v>
      </c>
      <c r="C83" s="15">
        <v>1812080</v>
      </c>
      <c r="D83" s="39" t="s">
        <v>678</v>
      </c>
      <c r="E83" s="55">
        <v>138250</v>
      </c>
      <c r="F83" s="55"/>
    </row>
    <row r="84" spans="2:6" ht="15.75">
      <c r="B84" s="14">
        <v>43463</v>
      </c>
      <c r="C84" s="15">
        <v>1812081</v>
      </c>
      <c r="D84" s="39" t="s">
        <v>679</v>
      </c>
      <c r="E84" s="55">
        <v>323789</v>
      </c>
      <c r="F84" s="55"/>
    </row>
    <row r="85" spans="2:6" ht="15.75">
      <c r="B85" s="14">
        <v>43465</v>
      </c>
      <c r="C85" s="15">
        <v>1812082</v>
      </c>
      <c r="D85" s="39" t="s">
        <v>439</v>
      </c>
      <c r="E85" s="55"/>
      <c r="F85" s="55">
        <v>10000</v>
      </c>
    </row>
    <row r="86" spans="2:6" ht="15.75">
      <c r="B86" s="14">
        <v>43830</v>
      </c>
      <c r="C86" s="15">
        <v>1812083</v>
      </c>
      <c r="D86" s="12" t="s">
        <v>680</v>
      </c>
      <c r="E86" s="55"/>
      <c r="F86" s="55">
        <v>50000</v>
      </c>
    </row>
    <row r="87" spans="2:6" ht="15.75">
      <c r="B87" s="18"/>
      <c r="C87" s="19"/>
      <c r="D87" s="20"/>
      <c r="E87" s="55">
        <f>SUM(E3:E86)</f>
        <v>4287676</v>
      </c>
      <c r="F87" s="55">
        <f>SUM(F3:F86)</f>
        <v>2373722</v>
      </c>
    </row>
    <row r="88" spans="2:6">
      <c r="B88" s="5"/>
      <c r="C88" s="27"/>
    </row>
    <row r="89" spans="2:6">
      <c r="B89" s="5"/>
      <c r="C89" s="27"/>
      <c r="E89" s="21" t="s">
        <v>6</v>
      </c>
      <c r="F89" s="55">
        <f>E87-F87</f>
        <v>1913954</v>
      </c>
    </row>
  </sheetData>
  <printOptions horizontalCentered="1" verticalCentered="1"/>
  <pageMargins left="0" right="0" top="0" bottom="0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82"/>
  <sheetViews>
    <sheetView topLeftCell="A60" workbookViewId="0">
      <selection activeCell="B2" sqref="B2:F82"/>
    </sheetView>
  </sheetViews>
  <sheetFormatPr baseColWidth="10" defaultRowHeight="15"/>
  <cols>
    <col min="2" max="2" width="10" style="5" customWidth="1"/>
    <col min="3" max="3" width="10.85546875" style="27" customWidth="1"/>
    <col min="4" max="4" width="47.85546875" bestFit="1" customWidth="1"/>
    <col min="5" max="6" width="14.140625" bestFit="1" customWidth="1"/>
    <col min="9" max="9" width="21.7109375" bestFit="1" customWidth="1"/>
    <col min="10" max="10" width="11.7109375" bestFit="1" customWidth="1"/>
  </cols>
  <sheetData>
    <row r="2" spans="2:9" s="5" customFormat="1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9">
      <c r="B3" s="6">
        <v>43132</v>
      </c>
      <c r="C3" s="22"/>
      <c r="D3" s="8" t="s">
        <v>79</v>
      </c>
      <c r="E3" s="24">
        <f>'JANVIER 2018'!F68</f>
        <v>6155924</v>
      </c>
      <c r="F3" s="24"/>
      <c r="G3" s="1"/>
      <c r="H3" s="1"/>
      <c r="I3" s="1"/>
    </row>
    <row r="4" spans="2:9" ht="15.75">
      <c r="B4" s="10">
        <v>43132</v>
      </c>
      <c r="C4" s="11">
        <v>1802001</v>
      </c>
      <c r="D4" s="16" t="s">
        <v>61</v>
      </c>
      <c r="E4" s="25">
        <v>500000</v>
      </c>
      <c r="F4" s="25"/>
      <c r="H4" s="1"/>
      <c r="I4" s="1"/>
    </row>
    <row r="5" spans="2:9" ht="15.75">
      <c r="B5" s="14">
        <v>43132</v>
      </c>
      <c r="C5" s="15">
        <v>1802002</v>
      </c>
      <c r="D5" s="16" t="s">
        <v>80</v>
      </c>
      <c r="E5" s="26"/>
      <c r="F5" s="26">
        <f>20140+133056</f>
        <v>153196</v>
      </c>
      <c r="H5" s="1"/>
      <c r="I5" s="1"/>
    </row>
    <row r="6" spans="2:9" ht="15.75">
      <c r="B6" s="14">
        <v>43132</v>
      </c>
      <c r="C6" s="11">
        <v>1802003</v>
      </c>
      <c r="D6" s="16" t="s">
        <v>81</v>
      </c>
      <c r="E6" s="26"/>
      <c r="F6" s="26">
        <v>3000</v>
      </c>
      <c r="I6" s="1"/>
    </row>
    <row r="7" spans="2:9" ht="15.75">
      <c r="B7" s="14">
        <v>43132</v>
      </c>
      <c r="C7" s="15">
        <v>1802004</v>
      </c>
      <c r="D7" s="16" t="s">
        <v>26</v>
      </c>
      <c r="E7" s="26">
        <f>43670+14614+11404+24172+74204</f>
        <v>168064</v>
      </c>
      <c r="F7" s="26"/>
    </row>
    <row r="8" spans="2:9" ht="15.75">
      <c r="B8" s="14">
        <v>43133</v>
      </c>
      <c r="C8" s="11">
        <v>1802005</v>
      </c>
      <c r="D8" s="16" t="s">
        <v>82</v>
      </c>
      <c r="E8" s="26"/>
      <c r="F8" s="26">
        <v>35000</v>
      </c>
    </row>
    <row r="9" spans="2:9" ht="15.75">
      <c r="B9" s="14">
        <v>43133</v>
      </c>
      <c r="C9" s="15">
        <v>1802006</v>
      </c>
      <c r="D9" s="12" t="s">
        <v>13</v>
      </c>
      <c r="E9" s="26"/>
      <c r="F9" s="26">
        <v>107500</v>
      </c>
    </row>
    <row r="10" spans="2:9" ht="15.75">
      <c r="B10" s="14">
        <v>43133</v>
      </c>
      <c r="C10" s="11">
        <v>1802007</v>
      </c>
      <c r="D10" s="16" t="s">
        <v>9</v>
      </c>
      <c r="E10" s="26">
        <f>66800+20160+178988+400+7369+3304+121817+400+138396+400</f>
        <v>538034</v>
      </c>
      <c r="F10" s="26"/>
    </row>
    <row r="11" spans="2:9" ht="15.75">
      <c r="B11" s="14">
        <v>43134</v>
      </c>
      <c r="C11" s="15">
        <v>1802008</v>
      </c>
      <c r="D11" s="16" t="s">
        <v>83</v>
      </c>
      <c r="E11" s="26"/>
      <c r="F11" s="26">
        <v>500</v>
      </c>
    </row>
    <row r="12" spans="2:9" ht="15.75">
      <c r="B12" s="14">
        <v>43134</v>
      </c>
      <c r="C12" s="11">
        <v>1802009</v>
      </c>
      <c r="D12" s="16" t="s">
        <v>84</v>
      </c>
      <c r="E12" s="26">
        <f>11074+13014</f>
        <v>24088</v>
      </c>
      <c r="F12" s="26"/>
    </row>
    <row r="13" spans="2:9" ht="15.75">
      <c r="B13" s="14">
        <v>43134</v>
      </c>
      <c r="C13" s="15">
        <v>1802010</v>
      </c>
      <c r="D13" s="16" t="s">
        <v>85</v>
      </c>
      <c r="E13" s="26"/>
      <c r="F13" s="26">
        <v>10000</v>
      </c>
    </row>
    <row r="14" spans="2:9" ht="15.75">
      <c r="B14" s="14">
        <v>43136</v>
      </c>
      <c r="C14" s="11">
        <v>1802011</v>
      </c>
      <c r="D14" s="12" t="s">
        <v>86</v>
      </c>
      <c r="E14" s="26">
        <f>72698+4012+14147+3334</f>
        <v>94191</v>
      </c>
      <c r="F14" s="26"/>
    </row>
    <row r="15" spans="2:9" ht="15.75">
      <c r="B15" s="14">
        <v>43137</v>
      </c>
      <c r="C15" s="15">
        <v>1802012</v>
      </c>
      <c r="D15" s="16" t="s">
        <v>30</v>
      </c>
      <c r="E15" s="26"/>
      <c r="F15" s="26">
        <v>6000</v>
      </c>
    </row>
    <row r="16" spans="2:9" ht="15.75">
      <c r="B16" s="14">
        <v>43137</v>
      </c>
      <c r="C16" s="11">
        <v>1802013</v>
      </c>
      <c r="D16" s="12" t="s">
        <v>87</v>
      </c>
      <c r="E16" s="26"/>
      <c r="F16" s="26">
        <v>2500</v>
      </c>
    </row>
    <row r="17" spans="2:9" ht="15.75">
      <c r="B17" s="14">
        <v>43137</v>
      </c>
      <c r="C17" s="15">
        <v>1802014</v>
      </c>
      <c r="D17" s="16" t="s">
        <v>88</v>
      </c>
      <c r="E17" s="26"/>
      <c r="F17" s="26">
        <v>19807</v>
      </c>
    </row>
    <row r="18" spans="2:9" ht="15.75">
      <c r="B18" s="14">
        <v>43137</v>
      </c>
      <c r="C18" s="11">
        <v>1802015</v>
      </c>
      <c r="D18" s="12" t="s">
        <v>13</v>
      </c>
      <c r="E18" s="26"/>
      <c r="F18" s="26">
        <v>115000</v>
      </c>
    </row>
    <row r="19" spans="2:9" ht="15.75">
      <c r="B19" s="14">
        <v>43137</v>
      </c>
      <c r="C19" s="15">
        <v>1802016</v>
      </c>
      <c r="D19" s="16" t="s">
        <v>89</v>
      </c>
      <c r="E19" s="26">
        <f>16207+155905+400</f>
        <v>172512</v>
      </c>
      <c r="F19" s="26"/>
    </row>
    <row r="20" spans="2:9" ht="15.75">
      <c r="B20" s="14">
        <v>43138</v>
      </c>
      <c r="C20" s="11">
        <v>1802017</v>
      </c>
      <c r="D20" s="16" t="s">
        <v>7</v>
      </c>
      <c r="E20" s="26"/>
      <c r="F20" s="26">
        <v>58774</v>
      </c>
      <c r="H20" s="1"/>
      <c r="I20" s="1"/>
    </row>
    <row r="21" spans="2:9" ht="15.75">
      <c r="B21" s="14">
        <v>43138</v>
      </c>
      <c r="C21" s="15">
        <v>1802018</v>
      </c>
      <c r="D21" s="12" t="s">
        <v>90</v>
      </c>
      <c r="E21" s="26"/>
      <c r="F21" s="26">
        <v>150000</v>
      </c>
      <c r="H21" s="1"/>
      <c r="I21" s="1"/>
    </row>
    <row r="22" spans="2:9" ht="15.75">
      <c r="B22" s="14">
        <v>43138</v>
      </c>
      <c r="C22" s="11">
        <v>1802019</v>
      </c>
      <c r="D22" s="16" t="s">
        <v>28</v>
      </c>
      <c r="E22" s="26"/>
      <c r="F22" s="26">
        <v>500</v>
      </c>
      <c r="H22" s="1"/>
      <c r="I22" s="1"/>
    </row>
    <row r="23" spans="2:9" ht="15.75">
      <c r="B23" s="14">
        <v>43138</v>
      </c>
      <c r="C23" s="15">
        <v>1802020</v>
      </c>
      <c r="D23" s="16" t="s">
        <v>91</v>
      </c>
      <c r="E23" s="26"/>
      <c r="F23" s="26">
        <v>150000</v>
      </c>
      <c r="H23" s="1"/>
      <c r="I23" s="1"/>
    </row>
    <row r="24" spans="2:9" ht="15.75">
      <c r="B24" s="14">
        <v>43138</v>
      </c>
      <c r="C24" s="11">
        <v>1802021</v>
      </c>
      <c r="D24" s="16" t="s">
        <v>92</v>
      </c>
      <c r="E24" s="26"/>
      <c r="F24" s="26">
        <v>5000</v>
      </c>
      <c r="H24" s="1"/>
      <c r="I24" s="1"/>
    </row>
    <row r="25" spans="2:9" ht="15.75">
      <c r="B25" s="14">
        <v>43138</v>
      </c>
      <c r="C25" s="15">
        <v>1802022</v>
      </c>
      <c r="D25" s="12" t="s">
        <v>93</v>
      </c>
      <c r="E25" s="26">
        <v>21645</v>
      </c>
      <c r="F25" s="26"/>
      <c r="H25" s="1"/>
      <c r="I25" s="1"/>
    </row>
    <row r="26" spans="2:9" ht="15.75">
      <c r="B26" s="6">
        <v>43138</v>
      </c>
      <c r="C26" s="11">
        <v>1802023</v>
      </c>
      <c r="D26" s="37" t="s">
        <v>94</v>
      </c>
      <c r="E26" s="24">
        <f>33990+11334+6000+10720+8124+3795+88355</f>
        <v>162318</v>
      </c>
      <c r="F26" s="24"/>
      <c r="G26" s="32"/>
      <c r="H26" s="38"/>
      <c r="I26" s="1"/>
    </row>
    <row r="27" spans="2:9" ht="15.75">
      <c r="B27" s="14">
        <v>43139</v>
      </c>
      <c r="C27" s="15">
        <v>1802024</v>
      </c>
      <c r="D27" s="16" t="s">
        <v>95</v>
      </c>
      <c r="E27" s="26"/>
      <c r="F27" s="26">
        <v>600000</v>
      </c>
      <c r="H27" s="1"/>
      <c r="I27" s="1"/>
    </row>
    <row r="28" spans="2:9" ht="15.75">
      <c r="B28" s="14">
        <v>43139</v>
      </c>
      <c r="C28" s="11">
        <v>1802025</v>
      </c>
      <c r="D28" s="16" t="s">
        <v>96</v>
      </c>
      <c r="E28" s="26"/>
      <c r="F28" s="26">
        <v>500000</v>
      </c>
      <c r="H28" s="1"/>
      <c r="I28" s="1"/>
    </row>
    <row r="29" spans="2:9" ht="15.75">
      <c r="B29" s="14">
        <v>43139</v>
      </c>
      <c r="C29" s="15">
        <v>1802026</v>
      </c>
      <c r="D29" s="12" t="s">
        <v>97</v>
      </c>
      <c r="E29" s="26"/>
      <c r="F29" s="26">
        <v>140000</v>
      </c>
      <c r="H29" s="1"/>
      <c r="I29" s="1"/>
    </row>
    <row r="30" spans="2:9" ht="15.75">
      <c r="B30" s="14">
        <v>43139</v>
      </c>
      <c r="C30" s="11">
        <v>1802027</v>
      </c>
      <c r="D30" s="12" t="s">
        <v>16</v>
      </c>
      <c r="E30" s="26"/>
      <c r="F30" s="26">
        <v>2000</v>
      </c>
      <c r="H30" s="1"/>
      <c r="I30" s="1"/>
    </row>
    <row r="31" spans="2:9" ht="15.75">
      <c r="B31" s="14">
        <v>43139</v>
      </c>
      <c r="C31" s="15">
        <v>1802028</v>
      </c>
      <c r="D31" s="12" t="s">
        <v>8</v>
      </c>
      <c r="E31" s="26"/>
      <c r="F31" s="26">
        <v>30500</v>
      </c>
      <c r="H31" s="1"/>
      <c r="I31" s="1"/>
    </row>
    <row r="32" spans="2:9" ht="15.75">
      <c r="B32" s="14">
        <v>43139</v>
      </c>
      <c r="C32" s="11">
        <v>1802029</v>
      </c>
      <c r="D32" s="12" t="s">
        <v>34</v>
      </c>
      <c r="E32" s="26"/>
      <c r="F32" s="26">
        <v>48050</v>
      </c>
      <c r="H32" s="1"/>
      <c r="I32" s="1"/>
    </row>
    <row r="33" spans="2:9" ht="15.75">
      <c r="B33" s="14">
        <v>43139</v>
      </c>
      <c r="C33" s="15">
        <v>1802030</v>
      </c>
      <c r="D33" s="16" t="s">
        <v>98</v>
      </c>
      <c r="E33" s="26">
        <f>15704+4012+42403</f>
        <v>62119</v>
      </c>
      <c r="F33" s="26"/>
      <c r="H33" s="1"/>
      <c r="I33" s="1"/>
    </row>
    <row r="34" spans="2:9" ht="15.75">
      <c r="B34" s="14">
        <v>43140</v>
      </c>
      <c r="C34" s="11">
        <v>1802031</v>
      </c>
      <c r="D34" s="12" t="s">
        <v>99</v>
      </c>
      <c r="E34" s="26">
        <f>21340+3068+5316+6826+35325+126785+400+54404+9729</f>
        <v>263193</v>
      </c>
      <c r="F34" s="26"/>
      <c r="H34" s="1"/>
      <c r="I34" s="1"/>
    </row>
    <row r="35" spans="2:9" ht="15.75">
      <c r="B35" s="14">
        <v>43141</v>
      </c>
      <c r="C35" s="15">
        <v>1802032</v>
      </c>
      <c r="D35" s="16" t="s">
        <v>100</v>
      </c>
      <c r="E35" s="26"/>
      <c r="F35" s="26">
        <v>15000</v>
      </c>
      <c r="H35" s="1"/>
      <c r="I35" s="1"/>
    </row>
    <row r="36" spans="2:9" ht="15.75">
      <c r="B36" s="14">
        <v>43141</v>
      </c>
      <c r="C36" s="11">
        <v>1802033</v>
      </c>
      <c r="D36" s="12" t="s">
        <v>101</v>
      </c>
      <c r="E36" s="26">
        <f>7274+7407</f>
        <v>14681</v>
      </c>
      <c r="F36" s="26"/>
      <c r="H36" s="1"/>
      <c r="I36" s="1"/>
    </row>
    <row r="37" spans="2:9" ht="15.75">
      <c r="B37" s="14">
        <v>43141</v>
      </c>
      <c r="C37" s="15">
        <v>1802034</v>
      </c>
      <c r="D37" s="16" t="s">
        <v>102</v>
      </c>
      <c r="E37" s="26"/>
      <c r="F37" s="26">
        <v>9000</v>
      </c>
      <c r="I37" s="1"/>
    </row>
    <row r="38" spans="2:9" ht="15.75">
      <c r="B38" s="14">
        <v>43143</v>
      </c>
      <c r="C38" s="11">
        <v>1802035</v>
      </c>
      <c r="D38" s="16" t="s">
        <v>103</v>
      </c>
      <c r="E38" s="26">
        <f>13461+7180+9918</f>
        <v>30559</v>
      </c>
      <c r="F38" s="26"/>
      <c r="H38" s="1"/>
      <c r="I38" s="1"/>
    </row>
    <row r="39" spans="2:9" ht="15.75">
      <c r="B39" s="14">
        <v>43144</v>
      </c>
      <c r="C39" s="15">
        <v>1802036</v>
      </c>
      <c r="D39" s="12" t="s">
        <v>15</v>
      </c>
      <c r="E39" s="26"/>
      <c r="F39" s="26">
        <v>1000</v>
      </c>
      <c r="H39" s="1"/>
      <c r="I39" s="1"/>
    </row>
    <row r="40" spans="2:9" ht="15.75">
      <c r="B40" s="14">
        <v>43144</v>
      </c>
      <c r="C40" s="11">
        <v>1802037</v>
      </c>
      <c r="D40" s="16" t="s">
        <v>104</v>
      </c>
      <c r="E40" s="26">
        <f>18949+12313+32102</f>
        <v>63364</v>
      </c>
      <c r="F40" s="26"/>
      <c r="H40" s="1"/>
      <c r="I40" s="1"/>
    </row>
    <row r="41" spans="2:9" ht="15.75">
      <c r="B41" s="14">
        <v>43145</v>
      </c>
      <c r="C41" s="15">
        <v>1802038</v>
      </c>
      <c r="D41" s="16" t="s">
        <v>105</v>
      </c>
      <c r="E41" s="26"/>
      <c r="F41" s="26">
        <v>30000</v>
      </c>
      <c r="H41" s="1"/>
      <c r="I41" s="1"/>
    </row>
    <row r="42" spans="2:9" ht="15.75">
      <c r="B42" s="14">
        <v>43145</v>
      </c>
      <c r="C42" s="11">
        <v>1802039</v>
      </c>
      <c r="D42" s="16" t="s">
        <v>106</v>
      </c>
      <c r="E42" s="26">
        <f>19697</f>
        <v>19697</v>
      </c>
      <c r="F42" s="26"/>
      <c r="H42" s="1"/>
      <c r="I42" s="1"/>
    </row>
    <row r="43" spans="2:9" ht="15.75">
      <c r="B43" s="14">
        <v>43146</v>
      </c>
      <c r="C43" s="15">
        <v>1802040</v>
      </c>
      <c r="D43" s="16" t="s">
        <v>107</v>
      </c>
      <c r="E43" s="26"/>
      <c r="F43" s="26">
        <v>30100</v>
      </c>
      <c r="H43" s="1"/>
      <c r="I43" s="1"/>
    </row>
    <row r="44" spans="2:9" ht="15.75">
      <c r="B44" s="14">
        <v>43146</v>
      </c>
      <c r="C44" s="11">
        <v>1802041</v>
      </c>
      <c r="D44" s="12" t="s">
        <v>87</v>
      </c>
      <c r="E44" s="26"/>
      <c r="F44" s="26">
        <v>2500</v>
      </c>
      <c r="H44" s="1"/>
      <c r="I44" s="1"/>
    </row>
    <row r="45" spans="2:9" ht="15.75">
      <c r="B45" s="14">
        <v>43146</v>
      </c>
      <c r="C45" s="15">
        <v>1802042</v>
      </c>
      <c r="D45" s="16" t="s">
        <v>108</v>
      </c>
      <c r="E45" s="26">
        <f>25315+5192+9304+17800</f>
        <v>57611</v>
      </c>
      <c r="F45" s="26"/>
      <c r="I45" s="1"/>
    </row>
    <row r="46" spans="2:9" ht="15.75">
      <c r="B46" s="14">
        <v>43147</v>
      </c>
      <c r="C46" s="11">
        <v>1802043</v>
      </c>
      <c r="D46" s="16" t="s">
        <v>109</v>
      </c>
      <c r="E46" s="26"/>
      <c r="F46" s="26">
        <v>20000</v>
      </c>
      <c r="I46" s="1"/>
    </row>
    <row r="47" spans="2:9" ht="15.75">
      <c r="B47" s="14">
        <v>43147</v>
      </c>
      <c r="C47" s="15">
        <v>1802044</v>
      </c>
      <c r="D47" s="16" t="s">
        <v>110</v>
      </c>
      <c r="E47" s="26">
        <f>39219+19216+12561</f>
        <v>70996</v>
      </c>
      <c r="F47" s="26"/>
      <c r="H47" s="1"/>
      <c r="I47" s="1"/>
    </row>
    <row r="48" spans="2:9" ht="15.75">
      <c r="B48" s="14">
        <v>43148</v>
      </c>
      <c r="C48" s="11">
        <v>1802045</v>
      </c>
      <c r="D48" s="16" t="s">
        <v>111</v>
      </c>
      <c r="E48" s="26">
        <f>8313+42344+8596</f>
        <v>59253</v>
      </c>
      <c r="F48" s="26"/>
      <c r="H48" s="1"/>
      <c r="I48" s="1"/>
    </row>
    <row r="49" spans="2:9" ht="15.75">
      <c r="B49" s="14">
        <v>43148</v>
      </c>
      <c r="C49" s="15">
        <v>1802046</v>
      </c>
      <c r="D49" s="16" t="s">
        <v>112</v>
      </c>
      <c r="E49" s="26"/>
      <c r="F49" s="26">
        <v>19000</v>
      </c>
      <c r="H49" s="1"/>
      <c r="I49" s="1"/>
    </row>
    <row r="50" spans="2:9" ht="15.75">
      <c r="B50" s="14">
        <v>43150</v>
      </c>
      <c r="C50" s="11">
        <v>1802047</v>
      </c>
      <c r="D50" s="16" t="s">
        <v>61</v>
      </c>
      <c r="E50" s="26">
        <f>22568+100+29589+100</f>
        <v>52357</v>
      </c>
      <c r="F50" s="26"/>
      <c r="H50" s="1"/>
      <c r="I50" s="1"/>
    </row>
    <row r="51" spans="2:9" ht="15.75">
      <c r="B51" s="14">
        <v>43150</v>
      </c>
      <c r="C51" s="15">
        <v>1802048</v>
      </c>
      <c r="D51" s="16" t="s">
        <v>113</v>
      </c>
      <c r="E51" s="26">
        <f>7003+158675+400</f>
        <v>166078</v>
      </c>
      <c r="F51" s="26"/>
      <c r="H51" s="1"/>
      <c r="I51" s="1"/>
    </row>
    <row r="52" spans="2:9" ht="15.75">
      <c r="B52" s="14">
        <v>43151</v>
      </c>
      <c r="C52" s="11">
        <v>1802049</v>
      </c>
      <c r="D52" s="16" t="s">
        <v>81</v>
      </c>
      <c r="E52" s="25"/>
      <c r="F52" s="25">
        <v>3000</v>
      </c>
      <c r="H52" s="1"/>
      <c r="I52" s="1"/>
    </row>
    <row r="53" spans="2:9" ht="15.75">
      <c r="B53" s="14">
        <v>43151</v>
      </c>
      <c r="C53" s="15">
        <v>1802050</v>
      </c>
      <c r="D53" s="16" t="s">
        <v>5</v>
      </c>
      <c r="E53" s="25"/>
      <c r="F53" s="25">
        <v>20000</v>
      </c>
      <c r="H53" s="1"/>
      <c r="I53" s="1"/>
    </row>
    <row r="54" spans="2:9" ht="15.75">
      <c r="B54" s="14">
        <v>43151</v>
      </c>
      <c r="C54" s="11">
        <v>1802051</v>
      </c>
      <c r="D54" s="16" t="s">
        <v>114</v>
      </c>
      <c r="E54" s="25">
        <f>13080+31960+3210+16290+33551</f>
        <v>98091</v>
      </c>
      <c r="F54" s="25"/>
      <c r="I54" s="1"/>
    </row>
    <row r="55" spans="2:9" ht="15.75">
      <c r="B55" s="6">
        <v>43152</v>
      </c>
      <c r="C55" s="34">
        <v>1802052</v>
      </c>
      <c r="D55" s="37" t="s">
        <v>115</v>
      </c>
      <c r="E55" s="33"/>
      <c r="F55" s="33">
        <v>185000</v>
      </c>
      <c r="I55" s="1"/>
    </row>
    <row r="56" spans="2:9" ht="15.75">
      <c r="B56" s="14">
        <v>43152</v>
      </c>
      <c r="C56" s="11">
        <v>1802053</v>
      </c>
      <c r="D56" s="16" t="s">
        <v>62</v>
      </c>
      <c r="E56" s="25"/>
      <c r="F56" s="25">
        <v>100000</v>
      </c>
      <c r="I56" s="1"/>
    </row>
    <row r="57" spans="2:9" ht="15.75">
      <c r="B57" s="14">
        <v>43152</v>
      </c>
      <c r="C57" s="15">
        <v>1802054</v>
      </c>
      <c r="D57" s="16" t="s">
        <v>116</v>
      </c>
      <c r="E57" s="25">
        <f>100+72163+117534+400+4012+21340+19659+19235</f>
        <v>254443</v>
      </c>
      <c r="F57" s="25"/>
      <c r="I57" s="1"/>
    </row>
    <row r="58" spans="2:9" ht="15.75">
      <c r="B58" s="14">
        <v>43153</v>
      </c>
      <c r="C58" s="11">
        <v>1802055</v>
      </c>
      <c r="D58" s="16" t="s">
        <v>117</v>
      </c>
      <c r="E58" s="25"/>
      <c r="F58" s="25">
        <v>500</v>
      </c>
      <c r="H58" s="1"/>
      <c r="I58" s="1"/>
    </row>
    <row r="59" spans="2:9" ht="15.75">
      <c r="B59" s="14">
        <v>43153</v>
      </c>
      <c r="C59" s="15">
        <v>1802056</v>
      </c>
      <c r="D59" s="16" t="s">
        <v>118</v>
      </c>
      <c r="E59" s="25"/>
      <c r="F59" s="25">
        <v>500000</v>
      </c>
      <c r="H59" s="1"/>
      <c r="I59" s="1"/>
    </row>
    <row r="60" spans="2:9" ht="15.75">
      <c r="B60" s="14">
        <v>43153</v>
      </c>
      <c r="C60" s="11">
        <v>1802057</v>
      </c>
      <c r="D60" s="16" t="s">
        <v>119</v>
      </c>
      <c r="E60" s="25"/>
      <c r="F60" s="25">
        <v>20930</v>
      </c>
      <c r="H60" s="1"/>
      <c r="I60" s="1"/>
    </row>
    <row r="61" spans="2:9" ht="15.75">
      <c r="B61" s="14">
        <v>43153</v>
      </c>
      <c r="C61" s="15">
        <v>1802058</v>
      </c>
      <c r="D61" s="16" t="s">
        <v>120</v>
      </c>
      <c r="E61" s="25">
        <f>57448+23464+7180+11605+67360</f>
        <v>167057</v>
      </c>
      <c r="F61" s="25"/>
      <c r="H61" s="1"/>
      <c r="I61" s="1"/>
    </row>
    <row r="62" spans="2:9" ht="15.75">
      <c r="B62" s="14">
        <v>43154</v>
      </c>
      <c r="C62" s="11">
        <v>1802059</v>
      </c>
      <c r="D62" s="12" t="s">
        <v>8</v>
      </c>
      <c r="E62" s="25"/>
      <c r="F62" s="25">
        <v>13000</v>
      </c>
      <c r="H62" s="1"/>
      <c r="I62" s="1"/>
    </row>
    <row r="63" spans="2:9" ht="15.75">
      <c r="B63" s="14">
        <v>43154</v>
      </c>
      <c r="C63" s="15">
        <v>1802060</v>
      </c>
      <c r="D63" s="12" t="s">
        <v>87</v>
      </c>
      <c r="E63" s="25"/>
      <c r="F63" s="25">
        <v>2500</v>
      </c>
      <c r="H63" s="1"/>
      <c r="I63" s="1"/>
    </row>
    <row r="64" spans="2:9" ht="15.75">
      <c r="B64" s="14">
        <v>43154</v>
      </c>
      <c r="C64" s="11">
        <v>1802061</v>
      </c>
      <c r="D64" s="16" t="s">
        <v>121</v>
      </c>
      <c r="E64" s="25">
        <f>27570+33617+22668</f>
        <v>83855</v>
      </c>
      <c r="F64" s="25"/>
      <c r="H64" s="1"/>
      <c r="I64" s="1"/>
    </row>
    <row r="65" spans="2:9" ht="15.75">
      <c r="B65" s="14">
        <v>43155</v>
      </c>
      <c r="C65" s="15">
        <v>1802062</v>
      </c>
      <c r="D65" s="16" t="s">
        <v>122</v>
      </c>
      <c r="E65" s="25">
        <f>10371</f>
        <v>10371</v>
      </c>
      <c r="F65" s="25"/>
      <c r="H65" s="1"/>
      <c r="I65" s="1"/>
    </row>
    <row r="66" spans="2:9" ht="15.75">
      <c r="B66" s="14">
        <v>43155</v>
      </c>
      <c r="C66" s="11">
        <v>1802063</v>
      </c>
      <c r="D66" s="16" t="s">
        <v>123</v>
      </c>
      <c r="E66" s="25"/>
      <c r="F66" s="25">
        <v>8000</v>
      </c>
      <c r="H66" s="1"/>
      <c r="I66" s="1"/>
    </row>
    <row r="67" spans="2:9" ht="15.75">
      <c r="B67" s="14">
        <v>43155</v>
      </c>
      <c r="C67" s="15">
        <v>1802064</v>
      </c>
      <c r="D67" s="16" t="s">
        <v>124</v>
      </c>
      <c r="E67" s="25"/>
      <c r="F67" s="25">
        <v>50000</v>
      </c>
      <c r="I67" s="1"/>
    </row>
    <row r="68" spans="2:9" ht="15.75">
      <c r="B68" s="14">
        <v>43155</v>
      </c>
      <c r="C68" s="11">
        <v>1802065</v>
      </c>
      <c r="D68" s="16" t="s">
        <v>125</v>
      </c>
      <c r="E68" s="25"/>
      <c r="F68" s="25">
        <v>60000</v>
      </c>
      <c r="I68" s="1"/>
    </row>
    <row r="69" spans="2:9" ht="15.75">
      <c r="B69" s="14">
        <v>43157</v>
      </c>
      <c r="C69" s="15">
        <v>1802066</v>
      </c>
      <c r="D69" s="16" t="s">
        <v>5</v>
      </c>
      <c r="E69" s="25"/>
      <c r="F69" s="25">
        <v>5000</v>
      </c>
      <c r="I69" s="1"/>
    </row>
    <row r="70" spans="2:9" ht="15.75">
      <c r="B70" s="14">
        <v>43157</v>
      </c>
      <c r="C70" s="11">
        <v>1802067</v>
      </c>
      <c r="D70" s="16" t="s">
        <v>126</v>
      </c>
      <c r="E70" s="25">
        <f>15407+7888+120360+500+7180+61685+100+2596</f>
        <v>215716</v>
      </c>
      <c r="F70" s="25"/>
      <c r="I70" s="1"/>
    </row>
    <row r="71" spans="2:9" ht="15.75">
      <c r="B71" s="14">
        <v>43158</v>
      </c>
      <c r="C71" s="15">
        <v>1802068</v>
      </c>
      <c r="D71" s="16" t="s">
        <v>127</v>
      </c>
      <c r="E71" s="25"/>
      <c r="F71" s="25">
        <v>27000</v>
      </c>
      <c r="I71" s="1"/>
    </row>
    <row r="72" spans="2:9" ht="15.75">
      <c r="B72" s="14">
        <v>43158</v>
      </c>
      <c r="C72" s="11">
        <v>1802069</v>
      </c>
      <c r="D72" s="16" t="s">
        <v>81</v>
      </c>
      <c r="E72" s="25"/>
      <c r="F72" s="25">
        <v>3000</v>
      </c>
      <c r="I72" s="1"/>
    </row>
    <row r="73" spans="2:9" ht="15.75">
      <c r="B73" s="14">
        <v>43158</v>
      </c>
      <c r="C73" s="15">
        <v>1802070</v>
      </c>
      <c r="D73" s="16" t="s">
        <v>128</v>
      </c>
      <c r="E73" s="25">
        <f>18154+11428</f>
        <v>29582</v>
      </c>
      <c r="F73" s="25"/>
      <c r="I73" s="1"/>
    </row>
    <row r="74" spans="2:9" ht="15.75">
      <c r="B74" s="14">
        <v>43159</v>
      </c>
      <c r="C74" s="11">
        <v>1802071</v>
      </c>
      <c r="D74" s="16" t="s">
        <v>5</v>
      </c>
      <c r="E74" s="25"/>
      <c r="F74" s="25">
        <v>5000</v>
      </c>
      <c r="I74" s="1"/>
    </row>
    <row r="75" spans="2:9" ht="15.75">
      <c r="B75" s="14">
        <v>43159</v>
      </c>
      <c r="C75" s="15">
        <v>1802072</v>
      </c>
      <c r="D75" s="16" t="s">
        <v>129</v>
      </c>
      <c r="E75" s="25"/>
      <c r="F75" s="25">
        <v>24000</v>
      </c>
      <c r="I75" s="1"/>
    </row>
    <row r="76" spans="2:9" ht="15.75">
      <c r="B76" s="14">
        <v>43159</v>
      </c>
      <c r="C76" s="11">
        <v>1802073</v>
      </c>
      <c r="D76" s="16" t="s">
        <v>130</v>
      </c>
      <c r="E76" s="25"/>
      <c r="F76" s="25">
        <v>5000</v>
      </c>
      <c r="I76" s="1"/>
    </row>
    <row r="77" spans="2:9" ht="15.75">
      <c r="B77" s="14">
        <v>43159</v>
      </c>
      <c r="C77" s="15">
        <v>1802074</v>
      </c>
      <c r="D77" s="16" t="s">
        <v>131</v>
      </c>
      <c r="E77" s="25">
        <f>49763+100+9729+12116+4515</f>
        <v>76223</v>
      </c>
      <c r="F77" s="25"/>
      <c r="I77" s="1"/>
    </row>
    <row r="78" spans="2:9" ht="15.75">
      <c r="B78" s="14">
        <v>43159</v>
      </c>
      <c r="C78" s="11">
        <v>1802075</v>
      </c>
      <c r="D78" s="16" t="s">
        <v>132</v>
      </c>
      <c r="E78" s="25"/>
      <c r="F78" s="25">
        <v>7000</v>
      </c>
      <c r="I78" s="1"/>
    </row>
    <row r="79" spans="2:9" ht="15.75">
      <c r="B79" s="6">
        <v>43159</v>
      </c>
      <c r="C79" s="34">
        <v>1802076</v>
      </c>
      <c r="D79" s="37" t="s">
        <v>181</v>
      </c>
      <c r="E79" s="33"/>
      <c r="F79" s="33">
        <v>100000</v>
      </c>
      <c r="I79" s="1"/>
    </row>
    <row r="80" spans="2:9" ht="15.75">
      <c r="B80" s="18"/>
      <c r="C80" s="19"/>
      <c r="D80" s="20"/>
      <c r="E80" s="25">
        <f>SUM(E3:E79)</f>
        <v>9632022</v>
      </c>
      <c r="F80" s="25">
        <f>SUM(F3:F79)</f>
        <v>3402857</v>
      </c>
    </row>
    <row r="82" spans="5:6">
      <c r="E82" s="21" t="s">
        <v>6</v>
      </c>
      <c r="F82" s="17">
        <f>E80-F80</f>
        <v>6229165</v>
      </c>
    </row>
  </sheetData>
  <printOptions horizontalCentered="1"/>
  <pageMargins left="0" right="0" top="0" bottom="0" header="0" footer="0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81"/>
  <sheetViews>
    <sheetView topLeftCell="A59" workbookViewId="0">
      <selection activeCell="B2" sqref="B2:F81"/>
    </sheetView>
  </sheetViews>
  <sheetFormatPr baseColWidth="10" defaultRowHeight="15"/>
  <cols>
    <col min="2" max="2" width="8.7109375" customWidth="1"/>
    <col min="3" max="3" width="9.7109375" customWidth="1"/>
    <col min="4" max="4" width="47.85546875" bestFit="1" customWidth="1"/>
    <col min="5" max="5" width="15.140625" bestFit="1" customWidth="1"/>
    <col min="6" max="6" width="14.140625" bestFit="1" customWidth="1"/>
    <col min="8" max="8" width="12" customWidth="1"/>
    <col min="9" max="9" width="21.7109375" bestFit="1" customWidth="1"/>
  </cols>
  <sheetData>
    <row r="2" spans="2:8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8">
      <c r="B3" s="6">
        <v>43160</v>
      </c>
      <c r="C3" s="22"/>
      <c r="D3" s="8" t="s">
        <v>133</v>
      </c>
      <c r="E3" s="24">
        <f>'FEVRIER 2018'!F82</f>
        <v>6229165</v>
      </c>
      <c r="F3" s="24"/>
    </row>
    <row r="4" spans="2:8" ht="15.75">
      <c r="B4" s="10">
        <v>43160</v>
      </c>
      <c r="C4" s="11">
        <v>1803001</v>
      </c>
      <c r="D4" s="16" t="s">
        <v>8</v>
      </c>
      <c r="E4" s="25"/>
      <c r="F4" s="25">
        <v>35694</v>
      </c>
    </row>
    <row r="5" spans="2:8" ht="15.75">
      <c r="B5" s="14">
        <v>43160</v>
      </c>
      <c r="C5" s="15">
        <v>1803002</v>
      </c>
      <c r="D5" s="16" t="s">
        <v>27</v>
      </c>
      <c r="E5" s="26">
        <f>37860+41164+7281+42226+4248+36782</f>
        <v>169561</v>
      </c>
      <c r="F5" s="26"/>
      <c r="H5" s="1"/>
    </row>
    <row r="6" spans="2:8" ht="15.75">
      <c r="B6" s="14">
        <v>43161</v>
      </c>
      <c r="C6" s="11">
        <v>1803003</v>
      </c>
      <c r="D6" s="12" t="s">
        <v>8</v>
      </c>
      <c r="E6" s="26"/>
      <c r="F6" s="26">
        <v>14900</v>
      </c>
      <c r="H6" s="40"/>
    </row>
    <row r="7" spans="2:8" ht="15.75">
      <c r="B7" s="14">
        <v>43162</v>
      </c>
      <c r="C7" s="15">
        <v>1803004</v>
      </c>
      <c r="D7" s="16" t="s">
        <v>134</v>
      </c>
      <c r="E7" s="26">
        <f>5735+42226+65000+172238+400+43484+197934+400+15393+113899</f>
        <v>656709</v>
      </c>
      <c r="F7" s="26"/>
      <c r="H7" s="1"/>
    </row>
    <row r="8" spans="2:8" ht="15.75">
      <c r="B8" s="14">
        <v>43164</v>
      </c>
      <c r="C8" s="11">
        <v>1803005</v>
      </c>
      <c r="D8" s="12" t="s">
        <v>13</v>
      </c>
      <c r="E8" s="26"/>
      <c r="F8" s="26">
        <v>107500</v>
      </c>
      <c r="H8" s="42"/>
    </row>
    <row r="9" spans="2:8" ht="15.75">
      <c r="B9" s="14">
        <v>43164</v>
      </c>
      <c r="C9" s="15">
        <v>1803006</v>
      </c>
      <c r="D9" s="12" t="s">
        <v>135</v>
      </c>
      <c r="E9" s="26">
        <f>54870+100</f>
        <v>54970</v>
      </c>
      <c r="F9" s="26"/>
      <c r="H9" s="42"/>
    </row>
    <row r="10" spans="2:8" s="32" customFormat="1" ht="15.75">
      <c r="B10" s="6">
        <v>43164</v>
      </c>
      <c r="C10" s="11">
        <v>1803007</v>
      </c>
      <c r="D10" s="37" t="s">
        <v>7</v>
      </c>
      <c r="E10" s="24"/>
      <c r="F10" s="24">
        <f>7965+100</f>
        <v>8065</v>
      </c>
    </row>
    <row r="11" spans="2:8" ht="15.75">
      <c r="B11" s="14">
        <v>43164</v>
      </c>
      <c r="C11" s="15">
        <v>1803008</v>
      </c>
      <c r="D11" s="12" t="s">
        <v>136</v>
      </c>
      <c r="E11" s="26">
        <f>126478+400+5475+60138+6244</f>
        <v>198735</v>
      </c>
      <c r="F11" s="26"/>
    </row>
    <row r="12" spans="2:8" ht="15.75">
      <c r="B12" s="14">
        <v>43165</v>
      </c>
      <c r="C12" s="11">
        <v>1803009</v>
      </c>
      <c r="D12" s="12" t="s">
        <v>137</v>
      </c>
      <c r="E12" s="26">
        <f>15110+9540+28184+49462+6369+311255+500+3280+2006+27948</f>
        <v>453654</v>
      </c>
      <c r="F12" s="26"/>
    </row>
    <row r="13" spans="2:8" ht="15.75">
      <c r="B13" s="14">
        <v>43166</v>
      </c>
      <c r="C13" s="15">
        <v>1803010</v>
      </c>
      <c r="D13" s="16" t="s">
        <v>28</v>
      </c>
      <c r="E13" s="26"/>
      <c r="F13" s="26">
        <v>500</v>
      </c>
    </row>
    <row r="14" spans="2:8" ht="15.75">
      <c r="B14" s="14">
        <v>43166</v>
      </c>
      <c r="C14" s="11">
        <v>1803011</v>
      </c>
      <c r="D14" s="16" t="s">
        <v>138</v>
      </c>
      <c r="E14" s="26"/>
      <c r="F14" s="26">
        <v>4000</v>
      </c>
    </row>
    <row r="15" spans="2:8" ht="15.75">
      <c r="B15" s="14">
        <v>43166</v>
      </c>
      <c r="C15" s="15">
        <v>1803012</v>
      </c>
      <c r="D15" s="16" t="s">
        <v>139</v>
      </c>
      <c r="E15" s="26"/>
      <c r="F15" s="26">
        <v>10000</v>
      </c>
    </row>
    <row r="16" spans="2:8" ht="15.75">
      <c r="B16" s="14">
        <v>43166</v>
      </c>
      <c r="C16" s="11">
        <v>1803013</v>
      </c>
      <c r="D16" s="12" t="s">
        <v>140</v>
      </c>
      <c r="E16" s="26">
        <f>4514+51705+3310+51680+11570+15511+134756+500</f>
        <v>273546</v>
      </c>
      <c r="F16" s="26"/>
    </row>
    <row r="17" spans="2:6" ht="15.75">
      <c r="B17" s="14">
        <v>43167</v>
      </c>
      <c r="C17" s="15">
        <v>1803014</v>
      </c>
      <c r="D17" s="16" t="s">
        <v>141</v>
      </c>
      <c r="E17" s="26">
        <f>100039+12844+32762+19865</f>
        <v>165510</v>
      </c>
      <c r="F17" s="26"/>
    </row>
    <row r="18" spans="2:6" ht="15.75">
      <c r="B18" s="14">
        <v>43168</v>
      </c>
      <c r="C18" s="11">
        <v>1803015</v>
      </c>
      <c r="D18" s="16" t="s">
        <v>83</v>
      </c>
      <c r="E18" s="26"/>
      <c r="F18" s="26">
        <v>500</v>
      </c>
    </row>
    <row r="19" spans="2:6" ht="15.75">
      <c r="B19" s="14">
        <v>43168</v>
      </c>
      <c r="C19" s="15">
        <v>1803016</v>
      </c>
      <c r="D19" s="16" t="s">
        <v>142</v>
      </c>
      <c r="E19" s="26">
        <f>8224+107672</f>
        <v>115896</v>
      </c>
      <c r="F19" s="26"/>
    </row>
    <row r="20" spans="2:6" ht="15.75">
      <c r="B20" s="14">
        <v>43169</v>
      </c>
      <c r="C20" s="11">
        <v>1803017</v>
      </c>
      <c r="D20" s="12" t="s">
        <v>143</v>
      </c>
      <c r="E20" s="26">
        <f>201780+500</f>
        <v>202280</v>
      </c>
      <c r="F20" s="26"/>
    </row>
    <row r="21" spans="2:6" ht="15.75">
      <c r="B21" s="14">
        <v>43169</v>
      </c>
      <c r="C21" s="15">
        <v>1803018</v>
      </c>
      <c r="D21" s="16" t="s">
        <v>144</v>
      </c>
      <c r="E21" s="26"/>
      <c r="F21" s="26">
        <v>8000</v>
      </c>
    </row>
    <row r="22" spans="2:6" ht="15.75">
      <c r="B22" s="14">
        <v>43171</v>
      </c>
      <c r="C22" s="11">
        <v>1803019</v>
      </c>
      <c r="D22" s="37" t="s">
        <v>61</v>
      </c>
      <c r="E22" s="26">
        <v>500000</v>
      </c>
      <c r="F22" s="26"/>
    </row>
    <row r="23" spans="2:6" ht="15.75">
      <c r="B23" s="14">
        <v>43171</v>
      </c>
      <c r="C23" s="15">
        <v>1803020</v>
      </c>
      <c r="D23" s="35" t="s">
        <v>16</v>
      </c>
      <c r="E23" s="26"/>
      <c r="F23" s="26">
        <v>2000</v>
      </c>
    </row>
    <row r="24" spans="2:6" ht="15.75">
      <c r="B24" s="14">
        <v>43171</v>
      </c>
      <c r="C24" s="11">
        <v>1803021</v>
      </c>
      <c r="D24" s="37" t="s">
        <v>145</v>
      </c>
      <c r="E24" s="26"/>
      <c r="F24" s="26">
        <v>392000</v>
      </c>
    </row>
    <row r="25" spans="2:6" ht="15.75">
      <c r="B25" s="14">
        <v>43171</v>
      </c>
      <c r="C25" s="15">
        <v>1803022</v>
      </c>
      <c r="D25" s="16" t="s">
        <v>146</v>
      </c>
      <c r="E25" s="26">
        <f>20585+5003+21163+39748+39925</f>
        <v>126424</v>
      </c>
      <c r="F25" s="26"/>
    </row>
    <row r="26" spans="2:6" ht="15.75">
      <c r="B26" s="14">
        <v>43172</v>
      </c>
      <c r="C26" s="11">
        <v>1803023</v>
      </c>
      <c r="D26" s="16" t="s">
        <v>81</v>
      </c>
      <c r="E26" s="26"/>
      <c r="F26" s="24">
        <v>3000</v>
      </c>
    </row>
    <row r="27" spans="2:6" ht="15.75">
      <c r="B27" s="14">
        <v>43172</v>
      </c>
      <c r="C27" s="15">
        <v>1803024</v>
      </c>
      <c r="D27" s="16" t="s">
        <v>147</v>
      </c>
      <c r="E27" s="26"/>
      <c r="F27" s="24">
        <v>2000</v>
      </c>
    </row>
    <row r="28" spans="2:6" ht="15.75">
      <c r="B28" s="14">
        <v>43172</v>
      </c>
      <c r="C28" s="11">
        <v>1803025</v>
      </c>
      <c r="D28" s="12" t="s">
        <v>148</v>
      </c>
      <c r="E28" s="26">
        <f>15898+33808</f>
        <v>49706</v>
      </c>
      <c r="F28" s="26"/>
    </row>
    <row r="29" spans="2:6" ht="15.75">
      <c r="B29" s="14">
        <v>43173</v>
      </c>
      <c r="C29" s="15">
        <v>1803026</v>
      </c>
      <c r="D29" s="12" t="s">
        <v>149</v>
      </c>
      <c r="E29" s="26"/>
      <c r="F29" s="24">
        <v>203500</v>
      </c>
    </row>
    <row r="30" spans="2:6" ht="15.75">
      <c r="B30" s="14">
        <v>43173</v>
      </c>
      <c r="C30" s="11">
        <v>1803027</v>
      </c>
      <c r="D30" s="16" t="s">
        <v>150</v>
      </c>
      <c r="E30" s="26">
        <f>61717+11900</f>
        <v>73617</v>
      </c>
      <c r="F30" s="39"/>
    </row>
    <row r="31" spans="2:6" ht="15.75">
      <c r="B31" s="14">
        <v>43174</v>
      </c>
      <c r="C31" s="15">
        <v>1803028</v>
      </c>
      <c r="D31" s="12" t="s">
        <v>28</v>
      </c>
      <c r="E31" s="24"/>
      <c r="F31" s="24">
        <v>500</v>
      </c>
    </row>
    <row r="32" spans="2:6" ht="15.75">
      <c r="B32" s="14">
        <v>43174</v>
      </c>
      <c r="C32" s="11">
        <v>1803029</v>
      </c>
      <c r="D32" s="16" t="s">
        <v>151</v>
      </c>
      <c r="E32" s="24"/>
      <c r="F32" s="24">
        <v>7100</v>
      </c>
    </row>
    <row r="33" spans="2:9" ht="15.75">
      <c r="B33" s="14">
        <v>43174</v>
      </c>
      <c r="C33" s="15">
        <v>1803030</v>
      </c>
      <c r="D33" s="16" t="s">
        <v>153</v>
      </c>
      <c r="E33" s="24"/>
      <c r="F33" s="24">
        <v>5000</v>
      </c>
      <c r="I33" s="41"/>
    </row>
    <row r="34" spans="2:9" ht="15.75">
      <c r="B34" s="14">
        <v>43174</v>
      </c>
      <c r="C34" s="11">
        <v>1803031</v>
      </c>
      <c r="D34" s="16" t="s">
        <v>7</v>
      </c>
      <c r="E34" s="24"/>
      <c r="F34" s="24">
        <f>56668+100</f>
        <v>56768</v>
      </c>
      <c r="I34" s="41"/>
    </row>
    <row r="35" spans="2:9" ht="15.75">
      <c r="B35" s="14">
        <v>43174</v>
      </c>
      <c r="C35" s="15">
        <v>1803032</v>
      </c>
      <c r="D35" s="16" t="s">
        <v>15</v>
      </c>
      <c r="E35" s="24"/>
      <c r="F35" s="24">
        <v>1000</v>
      </c>
    </row>
    <row r="36" spans="2:9" ht="15.75">
      <c r="B36" s="14">
        <v>43174</v>
      </c>
      <c r="C36" s="11">
        <v>1803033</v>
      </c>
      <c r="D36" s="16" t="s">
        <v>154</v>
      </c>
      <c r="E36" s="24"/>
      <c r="F36" s="24">
        <v>866650</v>
      </c>
    </row>
    <row r="37" spans="2:9" ht="15.75">
      <c r="B37" s="14">
        <v>43174</v>
      </c>
      <c r="C37" s="15">
        <v>1803034</v>
      </c>
      <c r="D37" s="16" t="s">
        <v>155</v>
      </c>
      <c r="E37" s="24">
        <f>3682+29947+5310+59690</f>
        <v>98629</v>
      </c>
      <c r="F37" s="24"/>
    </row>
    <row r="38" spans="2:9" ht="15.75">
      <c r="B38" s="14">
        <v>43175</v>
      </c>
      <c r="C38" s="11">
        <v>1803035</v>
      </c>
      <c r="D38" s="16" t="s">
        <v>139</v>
      </c>
      <c r="E38" s="24"/>
      <c r="F38" s="24">
        <v>6000</v>
      </c>
    </row>
    <row r="39" spans="2:9" ht="15.75">
      <c r="B39" s="14">
        <v>43175</v>
      </c>
      <c r="C39" s="15">
        <v>1803036</v>
      </c>
      <c r="D39" s="16" t="s">
        <v>156</v>
      </c>
      <c r="E39" s="26"/>
      <c r="F39" s="26">
        <v>30000</v>
      </c>
    </row>
    <row r="40" spans="2:9" ht="15.75">
      <c r="B40" s="14">
        <v>43175</v>
      </c>
      <c r="C40" s="11">
        <v>1803037</v>
      </c>
      <c r="D40" s="16" t="s">
        <v>157</v>
      </c>
      <c r="E40" s="26">
        <f>21644+34580+13316+12136</f>
        <v>81676</v>
      </c>
      <c r="F40" s="26"/>
    </row>
    <row r="41" spans="2:9" ht="15.75">
      <c r="B41" s="14">
        <v>43176</v>
      </c>
      <c r="C41" s="15">
        <v>1803038</v>
      </c>
      <c r="D41" s="16" t="s">
        <v>158</v>
      </c>
      <c r="E41" s="26">
        <f>3245+9162</f>
        <v>12407</v>
      </c>
      <c r="F41" s="26"/>
    </row>
    <row r="42" spans="2:9" ht="15.75">
      <c r="B42" s="14">
        <v>43176</v>
      </c>
      <c r="C42" s="11">
        <v>1803039</v>
      </c>
      <c r="D42" s="16" t="s">
        <v>159</v>
      </c>
      <c r="E42" s="26"/>
      <c r="F42" s="26">
        <v>21000</v>
      </c>
    </row>
    <row r="43" spans="2:9" ht="15.75">
      <c r="B43" s="14">
        <v>43178</v>
      </c>
      <c r="C43" s="15">
        <v>1803040</v>
      </c>
      <c r="D43" s="16" t="s">
        <v>160</v>
      </c>
      <c r="E43" s="26">
        <f>4838+7463+3882</f>
        <v>16183</v>
      </c>
      <c r="F43" s="26"/>
    </row>
    <row r="44" spans="2:9" ht="15.75">
      <c r="B44" s="14">
        <v>43179</v>
      </c>
      <c r="C44" s="11">
        <v>1803041</v>
      </c>
      <c r="D44" s="16" t="s">
        <v>152</v>
      </c>
      <c r="E44" s="26"/>
      <c r="F44" s="26">
        <v>30000</v>
      </c>
    </row>
    <row r="45" spans="2:9" ht="15.75">
      <c r="B45" s="6">
        <v>43179</v>
      </c>
      <c r="C45" s="15">
        <v>1803042</v>
      </c>
      <c r="D45" s="37" t="s">
        <v>28</v>
      </c>
      <c r="E45" s="24"/>
      <c r="F45" s="24">
        <v>500</v>
      </c>
    </row>
    <row r="46" spans="2:9" ht="15.75">
      <c r="B46" s="6">
        <v>43179</v>
      </c>
      <c r="C46" s="11">
        <v>1803043</v>
      </c>
      <c r="D46" s="37" t="s">
        <v>12</v>
      </c>
      <c r="E46" s="33"/>
      <c r="F46" s="33">
        <v>101000</v>
      </c>
    </row>
    <row r="47" spans="2:9" ht="15.75">
      <c r="B47" s="6">
        <v>43179</v>
      </c>
      <c r="C47" s="15">
        <v>1803044</v>
      </c>
      <c r="D47" s="37" t="s">
        <v>161</v>
      </c>
      <c r="E47" s="33"/>
      <c r="F47" s="33">
        <v>150000</v>
      </c>
    </row>
    <row r="48" spans="2:9" ht="15.75">
      <c r="B48" s="6">
        <v>43179</v>
      </c>
      <c r="C48" s="11">
        <v>1803045</v>
      </c>
      <c r="D48" s="37" t="s">
        <v>34</v>
      </c>
      <c r="E48" s="33"/>
      <c r="F48" s="33">
        <v>39825</v>
      </c>
    </row>
    <row r="49" spans="2:8" ht="15.75">
      <c r="B49" s="6">
        <v>43179</v>
      </c>
      <c r="C49" s="15">
        <v>1803046</v>
      </c>
      <c r="D49" s="16" t="s">
        <v>162</v>
      </c>
      <c r="E49" s="33"/>
      <c r="F49" s="33">
        <v>10000</v>
      </c>
    </row>
    <row r="50" spans="2:8" ht="15.75">
      <c r="B50" s="6">
        <v>43179</v>
      </c>
      <c r="C50" s="11">
        <v>1803047</v>
      </c>
      <c r="D50" s="37" t="s">
        <v>163</v>
      </c>
      <c r="E50" s="33">
        <f>5617+28597</f>
        <v>34214</v>
      </c>
      <c r="F50" s="33"/>
    </row>
    <row r="51" spans="2:8" ht="15.75">
      <c r="B51" s="14">
        <v>43180</v>
      </c>
      <c r="C51" s="15">
        <v>1803048</v>
      </c>
      <c r="D51" s="16" t="s">
        <v>31</v>
      </c>
      <c r="E51" s="25"/>
      <c r="F51" s="25">
        <v>1500</v>
      </c>
    </row>
    <row r="52" spans="2:8" ht="15.75">
      <c r="B52" s="14">
        <v>43180</v>
      </c>
      <c r="C52" s="11">
        <v>1803049</v>
      </c>
      <c r="D52" s="16" t="s">
        <v>62</v>
      </c>
      <c r="E52" s="25"/>
      <c r="F52" s="25">
        <v>90000</v>
      </c>
    </row>
    <row r="53" spans="2:8" ht="15.75">
      <c r="B53" s="31">
        <v>43180</v>
      </c>
      <c r="C53" s="15">
        <v>1803050</v>
      </c>
      <c r="D53" s="16" t="s">
        <v>164</v>
      </c>
      <c r="E53" s="25"/>
      <c r="F53" s="25">
        <v>500000</v>
      </c>
    </row>
    <row r="54" spans="2:8" ht="15.75">
      <c r="B54" s="31">
        <v>43180</v>
      </c>
      <c r="C54" s="11">
        <v>1803051</v>
      </c>
      <c r="D54" s="12" t="s">
        <v>165</v>
      </c>
      <c r="E54" s="25">
        <f>2266+100+10502+16903</f>
        <v>29771</v>
      </c>
      <c r="F54" s="25"/>
    </row>
    <row r="55" spans="2:8" ht="15.75">
      <c r="B55" s="14">
        <v>43181</v>
      </c>
      <c r="C55" s="15">
        <v>1803052</v>
      </c>
      <c r="D55" s="16" t="s">
        <v>166</v>
      </c>
      <c r="E55" s="30">
        <f>13080+14704+56268+16694</f>
        <v>100746</v>
      </c>
      <c r="F55" s="25"/>
    </row>
    <row r="56" spans="2:8" ht="15.75">
      <c r="B56" s="14">
        <v>43182</v>
      </c>
      <c r="C56" s="11">
        <v>1803053</v>
      </c>
      <c r="D56" s="12" t="s">
        <v>87</v>
      </c>
      <c r="E56" s="30"/>
      <c r="F56" s="25">
        <v>2500</v>
      </c>
    </row>
    <row r="57" spans="2:8" ht="15.75">
      <c r="B57" s="14">
        <v>43182</v>
      </c>
      <c r="C57" s="15">
        <v>1803054</v>
      </c>
      <c r="D57" s="16" t="s">
        <v>167</v>
      </c>
      <c r="E57" s="26">
        <f>64794+17110+51907+9328+49548+41424+8676+9378</f>
        <v>252165</v>
      </c>
      <c r="F57" s="25"/>
    </row>
    <row r="58" spans="2:8" ht="15.75">
      <c r="B58" s="14">
        <v>43183</v>
      </c>
      <c r="C58" s="11">
        <v>1803055</v>
      </c>
      <c r="D58" s="12" t="s">
        <v>168</v>
      </c>
      <c r="E58" s="26">
        <f>8065</f>
        <v>8065</v>
      </c>
      <c r="F58" s="25"/>
    </row>
    <row r="59" spans="2:8" ht="15.75">
      <c r="B59" s="14">
        <v>43183</v>
      </c>
      <c r="C59" s="15">
        <v>1803056</v>
      </c>
      <c r="D59" s="16" t="s">
        <v>5</v>
      </c>
      <c r="E59" s="26"/>
      <c r="F59" s="25">
        <v>15000</v>
      </c>
    </row>
    <row r="60" spans="2:8" ht="15.75">
      <c r="B60" s="14">
        <v>43183</v>
      </c>
      <c r="C60" s="11">
        <v>1803057</v>
      </c>
      <c r="D60" s="16" t="s">
        <v>169</v>
      </c>
      <c r="E60" s="26"/>
      <c r="F60" s="25">
        <v>18500</v>
      </c>
    </row>
    <row r="61" spans="2:8" ht="15.75">
      <c r="B61" s="6">
        <v>43183</v>
      </c>
      <c r="C61" s="15">
        <v>1803058</v>
      </c>
      <c r="D61" s="16" t="s">
        <v>170</v>
      </c>
      <c r="E61" s="25"/>
      <c r="F61" s="25">
        <v>60000</v>
      </c>
      <c r="H61" s="32"/>
    </row>
    <row r="62" spans="2:8" ht="15.75">
      <c r="B62" s="6">
        <v>43183</v>
      </c>
      <c r="C62" s="11">
        <v>1803059</v>
      </c>
      <c r="D62" s="16" t="s">
        <v>171</v>
      </c>
      <c r="E62" s="25"/>
      <c r="F62" s="25">
        <v>30000</v>
      </c>
    </row>
    <row r="63" spans="2:8" ht="15.75">
      <c r="B63" s="6">
        <v>43183</v>
      </c>
      <c r="C63" s="15">
        <v>1803060</v>
      </c>
      <c r="D63" s="16" t="s">
        <v>156</v>
      </c>
      <c r="E63" s="25"/>
      <c r="F63" s="25">
        <v>20000</v>
      </c>
    </row>
    <row r="64" spans="2:8" ht="15.75">
      <c r="B64" s="6">
        <v>43185</v>
      </c>
      <c r="C64" s="11">
        <v>1803061</v>
      </c>
      <c r="D64" s="16" t="s">
        <v>172</v>
      </c>
      <c r="E64" s="25"/>
      <c r="F64" s="25">
        <v>13000</v>
      </c>
    </row>
    <row r="65" spans="2:9" ht="15.75">
      <c r="B65" s="6">
        <v>43185</v>
      </c>
      <c r="C65" s="15">
        <v>1803062</v>
      </c>
      <c r="D65" s="16" t="s">
        <v>173</v>
      </c>
      <c r="E65" s="25"/>
      <c r="F65" s="25">
        <v>60000</v>
      </c>
    </row>
    <row r="66" spans="2:9" ht="15.75">
      <c r="B66" s="6">
        <v>43185</v>
      </c>
      <c r="C66" s="11">
        <v>1803063</v>
      </c>
      <c r="D66" s="16" t="s">
        <v>174</v>
      </c>
      <c r="E66" s="25"/>
      <c r="F66" s="25">
        <v>15000</v>
      </c>
    </row>
    <row r="67" spans="2:9" ht="15.75">
      <c r="B67" s="6">
        <v>43185</v>
      </c>
      <c r="C67" s="15">
        <v>1803064</v>
      </c>
      <c r="D67" s="16" t="s">
        <v>175</v>
      </c>
      <c r="E67" s="25">
        <f>9257+7965+100+5853+9127</f>
        <v>32302</v>
      </c>
      <c r="F67" s="25"/>
    </row>
    <row r="68" spans="2:9" ht="15.75">
      <c r="B68" s="6">
        <v>43186</v>
      </c>
      <c r="C68" s="11">
        <v>1803065</v>
      </c>
      <c r="D68" s="16" t="s">
        <v>176</v>
      </c>
      <c r="E68" s="25"/>
      <c r="F68" s="25">
        <v>2000</v>
      </c>
    </row>
    <row r="69" spans="2:9" ht="15.75">
      <c r="B69" s="14">
        <v>43186</v>
      </c>
      <c r="C69" s="15">
        <v>1803066</v>
      </c>
      <c r="D69" s="16" t="s">
        <v>177</v>
      </c>
      <c r="E69" s="26">
        <f>72670+18980+8242+29137</f>
        <v>129029</v>
      </c>
      <c r="F69" s="26"/>
    </row>
    <row r="70" spans="2:9" ht="15.75">
      <c r="B70" s="14">
        <v>43187</v>
      </c>
      <c r="C70" s="11">
        <v>1803067</v>
      </c>
      <c r="D70" s="16" t="s">
        <v>81</v>
      </c>
      <c r="E70" s="26"/>
      <c r="F70" s="26">
        <v>3000</v>
      </c>
      <c r="H70" s="32"/>
      <c r="I70" s="32"/>
    </row>
    <row r="71" spans="2:9" ht="15.75">
      <c r="B71" s="14">
        <v>43187</v>
      </c>
      <c r="C71" s="15">
        <v>1803068</v>
      </c>
      <c r="D71" s="16" t="s">
        <v>107</v>
      </c>
      <c r="E71" s="26"/>
      <c r="F71" s="26">
        <v>30100</v>
      </c>
    </row>
    <row r="72" spans="2:9" ht="15.75">
      <c r="B72" s="14">
        <v>43187</v>
      </c>
      <c r="C72" s="11">
        <v>1803069</v>
      </c>
      <c r="D72" s="16" t="s">
        <v>178</v>
      </c>
      <c r="E72" s="26">
        <f>40220+20868+32196+28993</f>
        <v>122277</v>
      </c>
      <c r="F72" s="26"/>
    </row>
    <row r="73" spans="2:9" ht="15.75">
      <c r="B73" s="14">
        <v>43188</v>
      </c>
      <c r="C73" s="15">
        <v>1803070</v>
      </c>
      <c r="D73" s="16" t="s">
        <v>179</v>
      </c>
      <c r="E73" s="26">
        <f>94795+15912+13893+2301</f>
        <v>126901</v>
      </c>
      <c r="F73" s="26"/>
    </row>
    <row r="74" spans="2:9" ht="15.75">
      <c r="B74" s="6">
        <v>43189</v>
      </c>
      <c r="C74" s="36">
        <v>1803071</v>
      </c>
      <c r="D74" s="37" t="s">
        <v>180</v>
      </c>
      <c r="E74" s="24"/>
      <c r="F74" s="24">
        <v>92500</v>
      </c>
    </row>
    <row r="75" spans="2:9" ht="15.75">
      <c r="B75" s="6">
        <v>43189</v>
      </c>
      <c r="C75" s="36">
        <v>1803072</v>
      </c>
      <c r="D75" s="37" t="s">
        <v>37</v>
      </c>
      <c r="E75" s="24"/>
      <c r="F75" s="24">
        <v>30000</v>
      </c>
    </row>
    <row r="76" spans="2:9" ht="15.75">
      <c r="B76" s="6">
        <v>43189</v>
      </c>
      <c r="C76" s="36">
        <v>1803073</v>
      </c>
      <c r="D76" s="37" t="s">
        <v>181</v>
      </c>
      <c r="E76" s="24"/>
      <c r="F76" s="24">
        <v>100000</v>
      </c>
    </row>
    <row r="77" spans="2:9" ht="15.75">
      <c r="B77" s="14">
        <v>43189</v>
      </c>
      <c r="C77" s="11">
        <v>1803074</v>
      </c>
      <c r="D77" s="16" t="s">
        <v>182</v>
      </c>
      <c r="E77" s="26">
        <f>2508+100+8496+37978+51968+7923+6614</f>
        <v>115587</v>
      </c>
      <c r="F77" s="26"/>
    </row>
    <row r="78" spans="2:9" ht="15.75">
      <c r="B78" s="14">
        <v>43190</v>
      </c>
      <c r="C78" s="11">
        <v>1803075</v>
      </c>
      <c r="D78" s="16" t="s">
        <v>183</v>
      </c>
      <c r="E78" s="26"/>
      <c r="F78" s="26">
        <v>8000</v>
      </c>
    </row>
    <row r="79" spans="2:9" ht="15.75">
      <c r="B79" s="18"/>
      <c r="C79" s="19"/>
      <c r="D79" s="20"/>
      <c r="E79" s="25">
        <f>SUM(E3:E78)</f>
        <v>10429725</v>
      </c>
      <c r="F79" s="25">
        <f>SUM(F3:F78)</f>
        <v>3208102</v>
      </c>
    </row>
    <row r="80" spans="2:9">
      <c r="B80" s="5"/>
      <c r="C80" s="27"/>
    </row>
    <row r="81" spans="2:6">
      <c r="B81" s="5"/>
      <c r="C81" s="27"/>
      <c r="E81" s="21" t="s">
        <v>6</v>
      </c>
      <c r="F81" s="17">
        <f>E79-F79</f>
        <v>7221623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J70"/>
  <sheetViews>
    <sheetView topLeftCell="A48" workbookViewId="0">
      <selection activeCell="B2" sqref="B2:F70"/>
    </sheetView>
  </sheetViews>
  <sheetFormatPr baseColWidth="10" defaultRowHeight="15"/>
  <cols>
    <col min="3" max="3" width="11.28515625" customWidth="1"/>
    <col min="4" max="4" width="50.140625" bestFit="1" customWidth="1"/>
    <col min="5" max="6" width="14.140625" bestFit="1" customWidth="1"/>
    <col min="8" max="8" width="13.85546875" customWidth="1"/>
    <col min="9" max="9" width="14.42578125" customWidth="1"/>
    <col min="10" max="10" width="11.7109375" bestFit="1" customWidth="1"/>
  </cols>
  <sheetData>
    <row r="2" spans="2:8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8">
      <c r="B3" s="6">
        <v>43191</v>
      </c>
      <c r="C3" s="22"/>
      <c r="D3" s="8" t="s">
        <v>184</v>
      </c>
      <c r="E3" s="24">
        <f>'MARS 2018'!F81</f>
        <v>7221623</v>
      </c>
      <c r="F3" s="24"/>
    </row>
    <row r="4" spans="2:8" ht="15.75">
      <c r="B4" s="10">
        <v>43192</v>
      </c>
      <c r="C4" s="11">
        <v>1804001</v>
      </c>
      <c r="D4" s="12" t="s">
        <v>8</v>
      </c>
      <c r="E4" s="25"/>
      <c r="F4" s="25">
        <v>25920</v>
      </c>
      <c r="H4" s="32"/>
    </row>
    <row r="5" spans="2:8" ht="15.75">
      <c r="B5" s="14">
        <v>43192</v>
      </c>
      <c r="C5" s="15">
        <v>1804002</v>
      </c>
      <c r="D5" s="16" t="s">
        <v>185</v>
      </c>
      <c r="E5" s="26"/>
      <c r="F5" s="26">
        <v>21100</v>
      </c>
      <c r="H5" s="32"/>
    </row>
    <row r="6" spans="2:8" ht="15.75">
      <c r="B6" s="14">
        <v>43193</v>
      </c>
      <c r="C6" s="11">
        <v>1804003</v>
      </c>
      <c r="D6" s="12" t="s">
        <v>29</v>
      </c>
      <c r="E6" s="26">
        <f>7670+100+5768</f>
        <v>13538</v>
      </c>
      <c r="F6" s="26"/>
    </row>
    <row r="7" spans="2:8" ht="15.75">
      <c r="B7" s="14">
        <v>43194</v>
      </c>
      <c r="C7" s="15">
        <v>1804004</v>
      </c>
      <c r="D7" s="16" t="s">
        <v>139</v>
      </c>
      <c r="E7" s="26"/>
      <c r="F7" s="26">
        <v>6000</v>
      </c>
    </row>
    <row r="8" spans="2:8" ht="15.75">
      <c r="B8" s="14">
        <v>43194</v>
      </c>
      <c r="C8" s="11">
        <v>1804005</v>
      </c>
      <c r="D8" s="16" t="s">
        <v>13</v>
      </c>
      <c r="E8" s="26"/>
      <c r="F8" s="26">
        <v>100000</v>
      </c>
    </row>
    <row r="9" spans="2:8" ht="15.75">
      <c r="B9" s="14">
        <v>43194</v>
      </c>
      <c r="C9" s="15">
        <v>1804006</v>
      </c>
      <c r="D9" s="12" t="s">
        <v>186</v>
      </c>
      <c r="E9" s="26">
        <f>46583-12744+39182</f>
        <v>73021</v>
      </c>
      <c r="F9" s="26"/>
    </row>
    <row r="10" spans="2:8" ht="15.75">
      <c r="B10" s="14">
        <v>43195</v>
      </c>
      <c r="C10" s="11">
        <v>1804007</v>
      </c>
      <c r="D10" s="12" t="s">
        <v>8</v>
      </c>
      <c r="E10" s="26"/>
      <c r="F10" s="24">
        <v>13460</v>
      </c>
    </row>
    <row r="11" spans="2:8" ht="15.75">
      <c r="B11" s="14">
        <v>43195</v>
      </c>
      <c r="C11" s="15">
        <v>1804008</v>
      </c>
      <c r="D11" s="12" t="s">
        <v>187</v>
      </c>
      <c r="E11" s="26"/>
      <c r="F11" s="24">
        <v>802228</v>
      </c>
    </row>
    <row r="12" spans="2:8" ht="15.75">
      <c r="B12" s="14">
        <v>43195</v>
      </c>
      <c r="C12" s="11">
        <v>1804009</v>
      </c>
      <c r="D12" s="12" t="s">
        <v>188</v>
      </c>
      <c r="E12" s="26">
        <f>8714+40810</f>
        <v>49524</v>
      </c>
      <c r="F12" s="26"/>
    </row>
    <row r="13" spans="2:8" ht="15.75">
      <c r="B13" s="14">
        <v>43196</v>
      </c>
      <c r="C13" s="15">
        <v>1804010</v>
      </c>
      <c r="D13" s="16" t="s">
        <v>189</v>
      </c>
      <c r="E13" s="26"/>
      <c r="F13" s="26">
        <v>100000</v>
      </c>
    </row>
    <row r="14" spans="2:8" ht="15.75">
      <c r="B14" s="14">
        <v>43196</v>
      </c>
      <c r="C14" s="11">
        <v>1804011</v>
      </c>
      <c r="D14" s="16" t="s">
        <v>190</v>
      </c>
      <c r="E14" s="26"/>
      <c r="F14" s="26">
        <v>130000</v>
      </c>
    </row>
    <row r="15" spans="2:8" ht="15.75">
      <c r="B15" s="14">
        <v>43196</v>
      </c>
      <c r="C15" s="15">
        <v>1804012</v>
      </c>
      <c r="D15" s="16" t="s">
        <v>190</v>
      </c>
      <c r="E15" s="26"/>
      <c r="F15" s="26">
        <v>75000</v>
      </c>
    </row>
    <row r="16" spans="2:8" ht="15.75">
      <c r="B16" s="14">
        <v>43196</v>
      </c>
      <c r="C16" s="11">
        <v>1804013</v>
      </c>
      <c r="D16" s="16" t="s">
        <v>191</v>
      </c>
      <c r="E16" s="26">
        <f>23110+17425</f>
        <v>40535</v>
      </c>
      <c r="F16" s="26"/>
    </row>
    <row r="17" spans="2:10" ht="15.75">
      <c r="B17" s="14">
        <v>43197</v>
      </c>
      <c r="C17" s="15">
        <v>1804014</v>
      </c>
      <c r="D17" s="16" t="s">
        <v>192</v>
      </c>
      <c r="E17" s="26">
        <f>94884</f>
        <v>94884</v>
      </c>
      <c r="F17" s="26"/>
    </row>
    <row r="18" spans="2:10" ht="15.75">
      <c r="B18" s="14">
        <v>43197</v>
      </c>
      <c r="C18" s="11">
        <v>1804015</v>
      </c>
      <c r="D18" s="37" t="s">
        <v>193</v>
      </c>
      <c r="E18" s="26"/>
      <c r="F18" s="26">
        <v>92500</v>
      </c>
    </row>
    <row r="19" spans="2:10" ht="15.75">
      <c r="B19" s="14">
        <v>43197</v>
      </c>
      <c r="C19" s="15">
        <v>1804016</v>
      </c>
      <c r="D19" s="16" t="s">
        <v>194</v>
      </c>
      <c r="E19" s="26"/>
      <c r="F19" s="26">
        <v>5500</v>
      </c>
    </row>
    <row r="20" spans="2:10" ht="15.75">
      <c r="B20" s="14">
        <v>43200</v>
      </c>
      <c r="C20" s="11">
        <v>1804017</v>
      </c>
      <c r="D20" s="16" t="s">
        <v>195</v>
      </c>
      <c r="E20" s="26">
        <f>20703+16242+9446</f>
        <v>46391</v>
      </c>
      <c r="F20" s="26"/>
    </row>
    <row r="21" spans="2:10" ht="15.75">
      <c r="B21" s="14">
        <v>43201</v>
      </c>
      <c r="C21" s="15">
        <v>1804018</v>
      </c>
      <c r="D21" s="16" t="s">
        <v>61</v>
      </c>
      <c r="E21" s="26">
        <f>358450</f>
        <v>358450</v>
      </c>
      <c r="F21" s="26"/>
      <c r="H21" s="43"/>
      <c r="I21" s="43"/>
      <c r="J21" s="44"/>
    </row>
    <row r="22" spans="2:10" ht="15.75">
      <c r="B22" s="14">
        <v>43201</v>
      </c>
      <c r="C22" s="11">
        <v>1804019</v>
      </c>
      <c r="D22" s="16" t="s">
        <v>196</v>
      </c>
      <c r="E22" s="26">
        <f>75998</f>
        <v>75998</v>
      </c>
      <c r="F22" s="26"/>
      <c r="H22" s="45"/>
      <c r="I22" s="43"/>
      <c r="J22" s="46"/>
    </row>
    <row r="23" spans="2:10" ht="15.75">
      <c r="B23" s="14">
        <v>43201</v>
      </c>
      <c r="C23" s="15">
        <v>1804020</v>
      </c>
      <c r="D23" s="16" t="s">
        <v>197</v>
      </c>
      <c r="E23" s="26">
        <f>49247+4033+14732+8360</f>
        <v>76372</v>
      </c>
      <c r="F23" s="26"/>
      <c r="H23" s="45"/>
      <c r="I23" s="43"/>
      <c r="J23" s="46"/>
    </row>
    <row r="24" spans="2:10" ht="15.75">
      <c r="B24" s="14">
        <v>43202</v>
      </c>
      <c r="C24" s="11">
        <v>1804021</v>
      </c>
      <c r="D24" s="16" t="s">
        <v>81</v>
      </c>
      <c r="E24" s="26"/>
      <c r="F24" s="26">
        <v>3000</v>
      </c>
      <c r="G24" s="32"/>
    </row>
    <row r="25" spans="2:10" ht="15.75">
      <c r="B25" s="14">
        <v>43202</v>
      </c>
      <c r="C25" s="15">
        <v>1804022</v>
      </c>
      <c r="D25" s="16" t="s">
        <v>198</v>
      </c>
      <c r="E25" s="26"/>
      <c r="F25" s="26">
        <v>5000</v>
      </c>
    </row>
    <row r="26" spans="2:10" ht="15.75">
      <c r="B26" s="14">
        <v>43202</v>
      </c>
      <c r="C26" s="11">
        <v>1804023</v>
      </c>
      <c r="D26" s="12" t="s">
        <v>199</v>
      </c>
      <c r="E26" s="26">
        <f>100+19057+3955+7741+1912</f>
        <v>32765</v>
      </c>
      <c r="F26" s="26"/>
    </row>
    <row r="27" spans="2:10" ht="15.75">
      <c r="B27" s="14">
        <v>43202</v>
      </c>
      <c r="C27" s="15">
        <v>1804024</v>
      </c>
      <c r="D27" s="12" t="s">
        <v>200</v>
      </c>
      <c r="E27" s="26"/>
      <c r="F27" s="26">
        <v>72570</v>
      </c>
    </row>
    <row r="28" spans="2:10" ht="15.75">
      <c r="B28" s="14">
        <v>43203</v>
      </c>
      <c r="C28" s="11">
        <v>1804025</v>
      </c>
      <c r="D28" s="16" t="s">
        <v>201</v>
      </c>
      <c r="E28" s="26">
        <f>15145+17210</f>
        <v>32355</v>
      </c>
      <c r="F28" s="24"/>
    </row>
    <row r="29" spans="2:10" ht="15.75">
      <c r="B29" s="14">
        <v>43145</v>
      </c>
      <c r="C29" s="15">
        <v>1804026</v>
      </c>
      <c r="D29" s="16" t="s">
        <v>202</v>
      </c>
      <c r="E29" s="26"/>
      <c r="F29" s="26">
        <v>20000</v>
      </c>
    </row>
    <row r="30" spans="2:10" ht="15.75">
      <c r="B30" s="14">
        <v>43204</v>
      </c>
      <c r="C30" s="11">
        <v>1804027</v>
      </c>
      <c r="D30" s="16" t="s">
        <v>203</v>
      </c>
      <c r="E30" s="26"/>
      <c r="F30" s="26">
        <v>5000</v>
      </c>
    </row>
    <row r="31" spans="2:10" ht="15.75">
      <c r="B31" s="14">
        <v>43206</v>
      </c>
      <c r="C31" s="15">
        <v>1804028</v>
      </c>
      <c r="D31" s="16" t="s">
        <v>204</v>
      </c>
      <c r="E31" s="26"/>
      <c r="F31" s="26">
        <v>14160</v>
      </c>
    </row>
    <row r="32" spans="2:10" ht="15.75">
      <c r="B32" s="14">
        <v>43206</v>
      </c>
      <c r="C32" s="11">
        <v>1804029</v>
      </c>
      <c r="D32" s="12" t="s">
        <v>205</v>
      </c>
      <c r="E32" s="26"/>
      <c r="F32" s="26">
        <v>50000</v>
      </c>
    </row>
    <row r="33" spans="2:6" ht="15.75">
      <c r="B33" s="14">
        <v>43206</v>
      </c>
      <c r="C33" s="15">
        <v>1804030</v>
      </c>
      <c r="D33" s="16" t="s">
        <v>206</v>
      </c>
      <c r="E33" s="26"/>
      <c r="F33" s="26">
        <v>5000</v>
      </c>
    </row>
    <row r="34" spans="2:6" ht="15.75">
      <c r="B34" s="14">
        <v>43206</v>
      </c>
      <c r="C34" s="15">
        <v>1804031</v>
      </c>
      <c r="D34" s="16" t="s">
        <v>207</v>
      </c>
      <c r="E34" s="26">
        <f>5055+9198</f>
        <v>14253</v>
      </c>
      <c r="F34" s="26"/>
    </row>
    <row r="35" spans="2:6" ht="15.75">
      <c r="B35" s="14">
        <v>43207</v>
      </c>
      <c r="C35" s="11">
        <v>1804032</v>
      </c>
      <c r="D35" s="12" t="s">
        <v>208</v>
      </c>
      <c r="E35" s="26"/>
      <c r="F35" s="26">
        <v>25000</v>
      </c>
    </row>
    <row r="36" spans="2:6" ht="15.75">
      <c r="B36" s="14">
        <v>43207</v>
      </c>
      <c r="C36" s="15">
        <v>1804033</v>
      </c>
      <c r="D36" s="12" t="s">
        <v>209</v>
      </c>
      <c r="E36" s="26">
        <f>2478+14968</f>
        <v>17446</v>
      </c>
      <c r="F36" s="24"/>
    </row>
    <row r="37" spans="2:6" ht="15.75">
      <c r="B37" s="14">
        <v>43208</v>
      </c>
      <c r="C37" s="15">
        <v>1804034</v>
      </c>
      <c r="D37" s="12" t="s">
        <v>210</v>
      </c>
      <c r="E37" s="26"/>
      <c r="F37" s="24">
        <v>6000</v>
      </c>
    </row>
    <row r="38" spans="2:6" ht="15.75">
      <c r="B38" s="14">
        <v>43208</v>
      </c>
      <c r="C38" s="11">
        <v>1804035</v>
      </c>
      <c r="D38" s="12" t="s">
        <v>211</v>
      </c>
      <c r="E38" s="26">
        <v>17151</v>
      </c>
      <c r="F38" s="26"/>
    </row>
    <row r="39" spans="2:6" ht="15.75">
      <c r="B39" s="14">
        <v>43209</v>
      </c>
      <c r="C39" s="15">
        <v>1804036</v>
      </c>
      <c r="D39" s="16" t="s">
        <v>212</v>
      </c>
      <c r="E39" s="26"/>
      <c r="F39" s="26">
        <v>2500</v>
      </c>
    </row>
    <row r="40" spans="2:6" ht="15.75">
      <c r="B40" s="14">
        <v>43209</v>
      </c>
      <c r="C40" s="15">
        <v>1804037</v>
      </c>
      <c r="D40" s="16" t="s">
        <v>213</v>
      </c>
      <c r="E40" s="26"/>
      <c r="F40" s="26">
        <v>500</v>
      </c>
    </row>
    <row r="41" spans="2:6" ht="15.75">
      <c r="B41" s="14">
        <v>43209</v>
      </c>
      <c r="C41" s="11">
        <v>1804038</v>
      </c>
      <c r="D41" s="16" t="s">
        <v>214</v>
      </c>
      <c r="E41" s="26">
        <v>6708</v>
      </c>
      <c r="F41" s="26"/>
    </row>
    <row r="42" spans="2:6" ht="15.75">
      <c r="B42" s="14">
        <v>43210</v>
      </c>
      <c r="C42" s="15">
        <v>1804039</v>
      </c>
      <c r="D42" s="16" t="s">
        <v>215</v>
      </c>
      <c r="E42" s="26"/>
      <c r="F42" s="26">
        <v>2000</v>
      </c>
    </row>
    <row r="43" spans="2:6" ht="15.75">
      <c r="B43" s="14">
        <v>43210</v>
      </c>
      <c r="C43" s="15">
        <v>1804040</v>
      </c>
      <c r="D43" s="16" t="s">
        <v>216</v>
      </c>
      <c r="E43" s="26"/>
      <c r="F43" s="26">
        <v>1275</v>
      </c>
    </row>
    <row r="44" spans="2:6" ht="15.75">
      <c r="B44" s="14">
        <v>43210</v>
      </c>
      <c r="C44" s="11">
        <v>1804041</v>
      </c>
      <c r="D44" s="37" t="s">
        <v>217</v>
      </c>
      <c r="E44" s="26"/>
      <c r="F44" s="26">
        <v>500</v>
      </c>
    </row>
    <row r="45" spans="2:6" ht="15.75">
      <c r="B45" s="14">
        <v>43210</v>
      </c>
      <c r="C45" s="15">
        <v>1804042</v>
      </c>
      <c r="D45" s="16" t="s">
        <v>218</v>
      </c>
      <c r="E45" s="26"/>
      <c r="F45" s="26">
        <v>230000</v>
      </c>
    </row>
    <row r="46" spans="2:6" ht="15.75">
      <c r="B46" s="14">
        <v>43210</v>
      </c>
      <c r="C46" s="11">
        <v>1804043</v>
      </c>
      <c r="D46" s="16" t="s">
        <v>219</v>
      </c>
      <c r="E46" s="26"/>
      <c r="F46" s="26">
        <v>10000</v>
      </c>
    </row>
    <row r="47" spans="2:6" ht="15.75">
      <c r="B47" s="14">
        <v>43210</v>
      </c>
      <c r="C47" s="15">
        <v>1804044</v>
      </c>
      <c r="D47" s="16" t="s">
        <v>220</v>
      </c>
      <c r="E47" s="26">
        <f>35058+2478+53082+13080</f>
        <v>103698</v>
      </c>
      <c r="F47" s="26"/>
    </row>
    <row r="48" spans="2:6" ht="15.75">
      <c r="B48" s="14">
        <v>43213</v>
      </c>
      <c r="C48" s="11">
        <v>1804045</v>
      </c>
      <c r="D48" s="16" t="s">
        <v>221</v>
      </c>
      <c r="E48" s="26">
        <f>22520+91710+7652+6520</f>
        <v>128402</v>
      </c>
      <c r="F48" s="26"/>
    </row>
    <row r="49" spans="2:6" ht="15.75">
      <c r="B49" s="14">
        <v>43214</v>
      </c>
      <c r="C49" s="15">
        <v>1804046</v>
      </c>
      <c r="D49" s="16" t="s">
        <v>222</v>
      </c>
      <c r="E49" s="26"/>
      <c r="F49" s="26">
        <v>31294</v>
      </c>
    </row>
    <row r="50" spans="2:6" ht="15.75">
      <c r="B50" s="14">
        <v>43214</v>
      </c>
      <c r="C50" s="11">
        <v>1804047</v>
      </c>
      <c r="D50" s="16" t="s">
        <v>223</v>
      </c>
      <c r="E50" s="26">
        <v>16399</v>
      </c>
      <c r="F50" s="26"/>
    </row>
    <row r="51" spans="2:6" ht="15.75">
      <c r="B51" s="47">
        <v>43215</v>
      </c>
      <c r="C51" s="15">
        <v>1804048</v>
      </c>
      <c r="D51" s="12" t="s">
        <v>224</v>
      </c>
      <c r="E51" s="25"/>
      <c r="F51" s="33">
        <v>95000</v>
      </c>
    </row>
    <row r="52" spans="2:6" ht="15.75">
      <c r="B52" s="14">
        <v>43215</v>
      </c>
      <c r="C52" s="11">
        <v>1804049</v>
      </c>
      <c r="D52" s="16" t="s">
        <v>225</v>
      </c>
      <c r="E52" s="26"/>
      <c r="F52" s="26">
        <v>22500</v>
      </c>
    </row>
    <row r="53" spans="2:6" ht="15.75">
      <c r="B53" s="14">
        <v>43215</v>
      </c>
      <c r="C53" s="15">
        <v>1804050</v>
      </c>
      <c r="D53" s="12" t="s">
        <v>226</v>
      </c>
      <c r="E53" s="26"/>
      <c r="F53" s="26">
        <v>3004</v>
      </c>
    </row>
    <row r="54" spans="2:6" ht="15.75">
      <c r="B54" s="14">
        <v>43215</v>
      </c>
      <c r="C54" s="11">
        <v>1804051</v>
      </c>
      <c r="D54" s="16" t="s">
        <v>227</v>
      </c>
      <c r="E54" s="26">
        <f>65944+36444</f>
        <v>102388</v>
      </c>
      <c r="F54" s="26"/>
    </row>
    <row r="55" spans="2:6" ht="15.75">
      <c r="B55" s="14">
        <v>43215</v>
      </c>
      <c r="C55" s="15">
        <v>1804052</v>
      </c>
      <c r="D55" s="16" t="s">
        <v>228</v>
      </c>
      <c r="E55" s="26"/>
      <c r="F55" s="24">
        <v>60000</v>
      </c>
    </row>
    <row r="56" spans="2:6" ht="15.75">
      <c r="B56" s="6">
        <v>43216</v>
      </c>
      <c r="C56" s="36">
        <v>1804053</v>
      </c>
      <c r="D56" s="35" t="s">
        <v>238</v>
      </c>
      <c r="E56" s="24"/>
      <c r="F56" s="24">
        <v>1000000</v>
      </c>
    </row>
    <row r="57" spans="2:6" ht="15.75">
      <c r="B57" s="14">
        <v>43216</v>
      </c>
      <c r="C57" s="15">
        <v>1804054</v>
      </c>
      <c r="D57" s="12" t="s">
        <v>229</v>
      </c>
      <c r="E57" s="26"/>
      <c r="F57" s="24">
        <v>1500</v>
      </c>
    </row>
    <row r="58" spans="2:6" ht="15.75">
      <c r="B58" s="14">
        <v>43216</v>
      </c>
      <c r="C58" s="11">
        <v>1804055</v>
      </c>
      <c r="D58" s="12" t="s">
        <v>230</v>
      </c>
      <c r="E58" s="26"/>
      <c r="F58" s="24">
        <v>5831</v>
      </c>
    </row>
    <row r="59" spans="2:6" ht="15.75">
      <c r="B59" s="14">
        <v>43216</v>
      </c>
      <c r="C59" s="15">
        <v>1804056</v>
      </c>
      <c r="D59" s="12" t="s">
        <v>231</v>
      </c>
      <c r="E59" s="26">
        <v>70000</v>
      </c>
      <c r="F59" s="26"/>
    </row>
    <row r="60" spans="2:6" ht="15.75">
      <c r="B60" s="14">
        <v>43216</v>
      </c>
      <c r="C60" s="11">
        <v>1804057</v>
      </c>
      <c r="D60" s="16" t="s">
        <v>232</v>
      </c>
      <c r="E60" s="26">
        <f>30308+16950</f>
        <v>47258</v>
      </c>
      <c r="F60" s="26"/>
    </row>
    <row r="61" spans="2:6" ht="15.75">
      <c r="B61" s="14">
        <v>43217</v>
      </c>
      <c r="C61" s="15">
        <v>1804058</v>
      </c>
      <c r="D61" s="16" t="s">
        <v>233</v>
      </c>
      <c r="E61" s="26"/>
      <c r="F61" s="24">
        <v>3000</v>
      </c>
    </row>
    <row r="62" spans="2:6" ht="15.75">
      <c r="B62" s="14">
        <v>43217</v>
      </c>
      <c r="C62" s="11">
        <v>1804059</v>
      </c>
      <c r="D62" s="16" t="s">
        <v>234</v>
      </c>
      <c r="E62" s="26">
        <f>104506+3441+8065+16325+15648</f>
        <v>147985</v>
      </c>
      <c r="F62" s="26"/>
    </row>
    <row r="63" spans="2:6" ht="15.75">
      <c r="B63" s="14">
        <v>43220</v>
      </c>
      <c r="C63" s="15">
        <v>1804060</v>
      </c>
      <c r="D63" s="16" t="s">
        <v>235</v>
      </c>
      <c r="E63" s="26"/>
      <c r="F63" s="26">
        <v>6000</v>
      </c>
    </row>
    <row r="64" spans="2:6" ht="15.75">
      <c r="B64" s="14">
        <v>43220</v>
      </c>
      <c r="C64" s="11">
        <v>1804061</v>
      </c>
      <c r="D64" s="16" t="s">
        <v>236</v>
      </c>
      <c r="E64" s="26">
        <f>5428</f>
        <v>5428</v>
      </c>
      <c r="F64" s="26"/>
    </row>
    <row r="65" spans="2:6" ht="15.75">
      <c r="B65" s="14">
        <v>43220</v>
      </c>
      <c r="C65" s="15">
        <v>1804062</v>
      </c>
      <c r="D65" s="37" t="s">
        <v>237</v>
      </c>
      <c r="E65" s="26"/>
      <c r="F65" s="26">
        <v>130500</v>
      </c>
    </row>
    <row r="66" spans="2:6" ht="15.75">
      <c r="B66" s="6">
        <v>43220</v>
      </c>
      <c r="C66" s="36">
        <v>1804063</v>
      </c>
      <c r="D66" s="35" t="s">
        <v>238</v>
      </c>
      <c r="E66" s="24"/>
      <c r="F66" s="24">
        <v>1301000</v>
      </c>
    </row>
    <row r="67" spans="2:6" ht="15.75">
      <c r="B67" s="14">
        <v>43220</v>
      </c>
      <c r="C67" s="15">
        <v>1804064</v>
      </c>
      <c r="D67" s="37" t="s">
        <v>239</v>
      </c>
      <c r="E67" s="26"/>
      <c r="F67" s="26">
        <v>17000</v>
      </c>
    </row>
    <row r="68" spans="2:6" ht="15.75">
      <c r="B68" s="18"/>
      <c r="C68" s="19"/>
      <c r="D68" s="20"/>
      <c r="E68" s="25">
        <f>SUM(E3:E67)</f>
        <v>8792572</v>
      </c>
      <c r="F68" s="25">
        <f>SUM(F3:F67)</f>
        <v>4500842</v>
      </c>
    </row>
    <row r="69" spans="2:6">
      <c r="B69" s="5"/>
      <c r="C69" s="27"/>
    </row>
    <row r="70" spans="2:6">
      <c r="B70" s="5"/>
      <c r="C70" s="27"/>
      <c r="E70" s="21" t="s">
        <v>6</v>
      </c>
      <c r="F70" s="17">
        <f>E68-F68</f>
        <v>4291730</v>
      </c>
    </row>
  </sheetData>
  <printOptions horizontalCentered="1" verticalCentered="1"/>
  <pageMargins left="0" right="0" top="0" bottom="0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I63"/>
  <sheetViews>
    <sheetView topLeftCell="A43" workbookViewId="0">
      <selection activeCell="F63" sqref="B2:F63"/>
    </sheetView>
  </sheetViews>
  <sheetFormatPr baseColWidth="10" defaultRowHeight="15"/>
  <cols>
    <col min="2" max="2" width="12.85546875" customWidth="1"/>
    <col min="3" max="3" width="14" customWidth="1"/>
    <col min="4" max="4" width="49.42578125" bestFit="1" customWidth="1"/>
    <col min="5" max="6" width="14.140625" bestFit="1" customWidth="1"/>
    <col min="8" max="8" width="7.42578125" bestFit="1" customWidth="1"/>
    <col min="9" max="9" width="28.5703125" style="49" bestFit="1" customWidth="1"/>
    <col min="10" max="10" width="14.14062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43221</v>
      </c>
      <c r="C3" s="22"/>
      <c r="D3" s="8" t="s">
        <v>240</v>
      </c>
      <c r="E3" s="24">
        <f>'AVRIL 2018'!F70</f>
        <v>4291730</v>
      </c>
      <c r="F3" s="24"/>
    </row>
    <row r="4" spans="2:6" ht="15.75">
      <c r="B4" s="10">
        <v>43222</v>
      </c>
      <c r="C4" s="11">
        <v>1805001</v>
      </c>
      <c r="D4" s="37" t="s">
        <v>181</v>
      </c>
      <c r="E4" s="25"/>
      <c r="F4" s="25">
        <v>100000</v>
      </c>
    </row>
    <row r="5" spans="2:6" ht="15.75">
      <c r="B5" s="47">
        <v>43222</v>
      </c>
      <c r="C5" s="34">
        <v>1805002</v>
      </c>
      <c r="D5" s="35" t="s">
        <v>241</v>
      </c>
      <c r="E5" s="33"/>
      <c r="F5" s="33">
        <v>3257</v>
      </c>
    </row>
    <row r="6" spans="2:6" ht="15.75">
      <c r="B6" s="6">
        <v>43222</v>
      </c>
      <c r="C6" s="36">
        <v>1805003</v>
      </c>
      <c r="D6" s="37" t="s">
        <v>242</v>
      </c>
      <c r="E6" s="24">
        <f>5098+2492+39276+1416+22284+31100-107</f>
        <v>101559</v>
      </c>
      <c r="F6" s="24"/>
    </row>
    <row r="7" spans="2:6" ht="15.75">
      <c r="B7" s="6">
        <v>43223</v>
      </c>
      <c r="C7" s="34">
        <v>1805004</v>
      </c>
      <c r="D7" s="35" t="s">
        <v>243</v>
      </c>
      <c r="E7" s="24"/>
      <c r="F7" s="24">
        <v>500</v>
      </c>
    </row>
    <row r="8" spans="2:6" ht="15.75">
      <c r="B8" s="6">
        <v>43223</v>
      </c>
      <c r="C8" s="36">
        <v>1805005</v>
      </c>
      <c r="D8" s="37" t="s">
        <v>244</v>
      </c>
      <c r="E8" s="24"/>
      <c r="F8" s="24">
        <v>60000</v>
      </c>
    </row>
    <row r="9" spans="2:6" ht="15.75">
      <c r="B9" s="6">
        <v>43223</v>
      </c>
      <c r="C9" s="34">
        <v>1805006</v>
      </c>
      <c r="D9" s="37" t="s">
        <v>245</v>
      </c>
      <c r="E9" s="24"/>
      <c r="F9" s="24">
        <v>60000</v>
      </c>
    </row>
    <row r="10" spans="2:6" ht="15.75">
      <c r="B10" s="6">
        <v>43223</v>
      </c>
      <c r="C10" s="36">
        <v>1805007</v>
      </c>
      <c r="D10" s="35" t="s">
        <v>246</v>
      </c>
      <c r="E10" s="24">
        <f>121214+33199</f>
        <v>154413</v>
      </c>
      <c r="F10" s="24"/>
    </row>
    <row r="11" spans="2:6" ht="15.75">
      <c r="B11" s="6">
        <v>43224</v>
      </c>
      <c r="C11" s="34">
        <v>1805008</v>
      </c>
      <c r="D11" s="35" t="s">
        <v>247</v>
      </c>
      <c r="E11" s="24"/>
      <c r="F11" s="24">
        <v>50000</v>
      </c>
    </row>
    <row r="12" spans="2:6" ht="15.75">
      <c r="B12" s="6">
        <v>43224</v>
      </c>
      <c r="C12" s="36">
        <v>1805009</v>
      </c>
      <c r="D12" s="35" t="s">
        <v>248</v>
      </c>
      <c r="E12" s="24"/>
      <c r="F12" s="24">
        <v>6000</v>
      </c>
    </row>
    <row r="13" spans="2:6" ht="15.75">
      <c r="B13" s="6">
        <v>43224</v>
      </c>
      <c r="C13" s="34">
        <v>1805010</v>
      </c>
      <c r="D13" s="35" t="s">
        <v>249</v>
      </c>
      <c r="E13" s="24">
        <f>11655+43971+42227+2006+4514</f>
        <v>104373</v>
      </c>
      <c r="F13" s="24"/>
    </row>
    <row r="14" spans="2:6" ht="15.75">
      <c r="B14" s="6">
        <v>43227</v>
      </c>
      <c r="C14" s="36">
        <v>1805011</v>
      </c>
      <c r="D14" s="37" t="s">
        <v>250</v>
      </c>
      <c r="E14" s="24"/>
      <c r="F14" s="24">
        <v>29600</v>
      </c>
    </row>
    <row r="15" spans="2:6" ht="15.75">
      <c r="B15" s="6">
        <v>43227</v>
      </c>
      <c r="C15" s="34">
        <v>1805012</v>
      </c>
      <c r="D15" s="37" t="s">
        <v>251</v>
      </c>
      <c r="E15" s="24"/>
      <c r="F15" s="24">
        <v>52490</v>
      </c>
    </row>
    <row r="16" spans="2:6" ht="15.75">
      <c r="B16" s="6">
        <v>43227</v>
      </c>
      <c r="C16" s="36">
        <v>1805013</v>
      </c>
      <c r="D16" s="37" t="s">
        <v>252</v>
      </c>
      <c r="E16" s="24">
        <f>8360+26178</f>
        <v>34538</v>
      </c>
      <c r="F16" s="24"/>
    </row>
    <row r="17" spans="2:7" ht="15.75">
      <c r="B17" s="6">
        <v>43228</v>
      </c>
      <c r="C17" s="34">
        <v>1805014</v>
      </c>
      <c r="D17" s="37" t="s">
        <v>253</v>
      </c>
      <c r="E17" s="24">
        <f>7003+3469+71785+11900</f>
        <v>94157</v>
      </c>
      <c r="F17" s="24"/>
      <c r="G17" s="32"/>
    </row>
    <row r="18" spans="2:7" ht="15.75">
      <c r="B18" s="6">
        <v>43229</v>
      </c>
      <c r="C18" s="36">
        <v>1805015</v>
      </c>
      <c r="D18" s="37" t="s">
        <v>254</v>
      </c>
      <c r="E18" s="24"/>
      <c r="F18" s="24">
        <v>100000</v>
      </c>
    </row>
    <row r="19" spans="2:7" ht="15.75">
      <c r="B19" s="6">
        <v>43229</v>
      </c>
      <c r="C19" s="34">
        <v>1805016</v>
      </c>
      <c r="D19" s="37" t="s">
        <v>255</v>
      </c>
      <c r="E19" s="24">
        <v>19358</v>
      </c>
      <c r="F19" s="24"/>
    </row>
    <row r="20" spans="2:7" ht="15.75">
      <c r="B20" s="6">
        <v>43229</v>
      </c>
      <c r="C20" s="36">
        <v>1805017</v>
      </c>
      <c r="D20" s="37" t="s">
        <v>35</v>
      </c>
      <c r="E20" s="24"/>
      <c r="F20" s="24">
        <v>30000</v>
      </c>
    </row>
    <row r="21" spans="2:7" ht="15.75">
      <c r="B21" s="6">
        <v>43231</v>
      </c>
      <c r="C21" s="34">
        <v>1805018</v>
      </c>
      <c r="D21" s="37" t="s">
        <v>256</v>
      </c>
      <c r="E21" s="24"/>
      <c r="F21" s="24">
        <v>10000</v>
      </c>
      <c r="G21" s="32"/>
    </row>
    <row r="22" spans="2:7" ht="15.75">
      <c r="B22" s="14">
        <v>43232</v>
      </c>
      <c r="C22" s="36">
        <v>1805019</v>
      </c>
      <c r="D22" s="16" t="s">
        <v>257</v>
      </c>
      <c r="E22" s="26">
        <f>2891+14987+6944</f>
        <v>24822</v>
      </c>
      <c r="F22" s="26"/>
    </row>
    <row r="23" spans="2:7" ht="15.75">
      <c r="B23" s="6">
        <v>43232</v>
      </c>
      <c r="C23" s="34">
        <v>1805020</v>
      </c>
      <c r="D23" s="37" t="s">
        <v>259</v>
      </c>
      <c r="E23" s="24"/>
      <c r="F23" s="24">
        <v>17000</v>
      </c>
    </row>
    <row r="24" spans="2:7" ht="15.75">
      <c r="B24" s="6">
        <v>43234</v>
      </c>
      <c r="C24" s="36">
        <v>1805021</v>
      </c>
      <c r="D24" s="37" t="s">
        <v>258</v>
      </c>
      <c r="E24" s="24"/>
      <c r="F24" s="24">
        <v>3000</v>
      </c>
    </row>
    <row r="25" spans="2:7" ht="15.75">
      <c r="B25" s="6">
        <v>43234</v>
      </c>
      <c r="C25" s="34">
        <v>1805022</v>
      </c>
      <c r="D25" s="37" t="s">
        <v>8</v>
      </c>
      <c r="E25" s="24"/>
      <c r="F25" s="24">
        <v>85100</v>
      </c>
    </row>
    <row r="26" spans="2:7" ht="15.75">
      <c r="B26" s="14">
        <v>43234</v>
      </c>
      <c r="C26" s="11">
        <v>1805023</v>
      </c>
      <c r="D26" s="16" t="s">
        <v>18</v>
      </c>
      <c r="E26" s="26"/>
      <c r="F26" s="24">
        <v>2500</v>
      </c>
    </row>
    <row r="27" spans="2:7" ht="15.75">
      <c r="B27" s="14">
        <v>43234</v>
      </c>
      <c r="C27" s="15">
        <v>1805024</v>
      </c>
      <c r="D27" s="12" t="s">
        <v>260</v>
      </c>
      <c r="E27" s="26">
        <f>27799+5375+4000</f>
        <v>37174</v>
      </c>
      <c r="F27" s="24"/>
    </row>
    <row r="28" spans="2:7" ht="15.75">
      <c r="B28" s="14">
        <v>43234</v>
      </c>
      <c r="C28" s="11">
        <v>1805025</v>
      </c>
      <c r="D28" s="16" t="s">
        <v>261</v>
      </c>
      <c r="E28" s="26"/>
      <c r="F28" s="24">
        <v>312500</v>
      </c>
    </row>
    <row r="29" spans="2:7" ht="15.75">
      <c r="B29" s="14">
        <v>43234</v>
      </c>
      <c r="C29" s="15">
        <v>1805026</v>
      </c>
      <c r="D29" s="12" t="s">
        <v>262</v>
      </c>
      <c r="E29" s="26">
        <f>5384+4915+5664</f>
        <v>15963</v>
      </c>
      <c r="F29" s="26"/>
    </row>
    <row r="30" spans="2:7" ht="15.75">
      <c r="B30" s="47">
        <v>43235</v>
      </c>
      <c r="C30" s="34">
        <v>1805027</v>
      </c>
      <c r="D30" s="35" t="s">
        <v>263</v>
      </c>
      <c r="E30" s="33"/>
      <c r="F30" s="33">
        <v>44936</v>
      </c>
      <c r="G30" s="48"/>
    </row>
    <row r="31" spans="2:7" ht="15.75">
      <c r="B31" s="6">
        <v>43235</v>
      </c>
      <c r="C31" s="36">
        <v>1805028</v>
      </c>
      <c r="D31" s="37" t="s">
        <v>264</v>
      </c>
      <c r="E31" s="24"/>
      <c r="F31" s="24">
        <v>30100</v>
      </c>
    </row>
    <row r="32" spans="2:7" ht="15.75">
      <c r="B32" s="6">
        <v>43235</v>
      </c>
      <c r="C32" s="34">
        <v>1805029</v>
      </c>
      <c r="D32" s="35" t="s">
        <v>265</v>
      </c>
      <c r="E32" s="24"/>
      <c r="F32" s="24">
        <v>28800</v>
      </c>
    </row>
    <row r="33" spans="2:9" ht="15.75">
      <c r="B33" s="6">
        <v>43235</v>
      </c>
      <c r="C33" s="36">
        <v>1805030</v>
      </c>
      <c r="D33" s="37" t="s">
        <v>266</v>
      </c>
      <c r="E33" s="24">
        <f>2775+11994+74676</f>
        <v>89445</v>
      </c>
      <c r="F33" s="24"/>
    </row>
    <row r="34" spans="2:9" ht="15.75">
      <c r="B34" s="6">
        <v>43236</v>
      </c>
      <c r="C34" s="34">
        <v>1805031</v>
      </c>
      <c r="D34" s="37" t="s">
        <v>267</v>
      </c>
      <c r="E34" s="24">
        <f>23889+8124+14921+36058</f>
        <v>82992</v>
      </c>
      <c r="F34" s="24"/>
    </row>
    <row r="35" spans="2:9" ht="15.75">
      <c r="B35" s="6">
        <v>43237</v>
      </c>
      <c r="C35" s="36">
        <v>1805032</v>
      </c>
      <c r="D35" s="35" t="s">
        <v>268</v>
      </c>
      <c r="E35" s="24">
        <f>27570+10012+3835+3505+4524</f>
        <v>49446</v>
      </c>
      <c r="F35" s="24"/>
    </row>
    <row r="36" spans="2:9" ht="15.75">
      <c r="B36" s="6">
        <v>43238</v>
      </c>
      <c r="C36" s="34">
        <v>1805033</v>
      </c>
      <c r="D36" s="35" t="s">
        <v>269</v>
      </c>
      <c r="E36" s="24">
        <f>4838+4986+9127+3304</f>
        <v>22255</v>
      </c>
      <c r="F36" s="24"/>
    </row>
    <row r="37" spans="2:9" ht="15.75">
      <c r="B37" s="6">
        <v>43239</v>
      </c>
      <c r="C37" s="36">
        <v>1805034</v>
      </c>
      <c r="D37" s="35" t="s">
        <v>270</v>
      </c>
      <c r="E37" s="24">
        <f>5900+6767</f>
        <v>12667</v>
      </c>
      <c r="F37" s="24"/>
    </row>
    <row r="38" spans="2:9" ht="15.75">
      <c r="B38" s="6">
        <v>43242</v>
      </c>
      <c r="C38" s="34">
        <v>1805035</v>
      </c>
      <c r="D38" s="35" t="s">
        <v>271</v>
      </c>
      <c r="E38" s="24">
        <f>14543+23738+7086+7180</f>
        <v>52547</v>
      </c>
      <c r="F38" s="24"/>
    </row>
    <row r="39" spans="2:9" ht="15.75">
      <c r="B39" s="6">
        <v>43243</v>
      </c>
      <c r="C39" s="36">
        <v>1805036</v>
      </c>
      <c r="D39" s="35" t="s">
        <v>272</v>
      </c>
      <c r="E39" s="24"/>
      <c r="F39" s="24">
        <v>30100</v>
      </c>
    </row>
    <row r="40" spans="2:9" ht="15.75">
      <c r="B40" s="6">
        <v>43243</v>
      </c>
      <c r="C40" s="34">
        <v>1805037</v>
      </c>
      <c r="D40" s="37" t="s">
        <v>273</v>
      </c>
      <c r="E40" s="24"/>
      <c r="F40" s="24">
        <v>78000</v>
      </c>
    </row>
    <row r="41" spans="2:9" ht="15.75">
      <c r="B41" s="6">
        <v>43243</v>
      </c>
      <c r="C41" s="36">
        <v>1805038</v>
      </c>
      <c r="D41" s="37" t="s">
        <v>274</v>
      </c>
      <c r="E41" s="24"/>
      <c r="F41" s="24">
        <v>10000</v>
      </c>
    </row>
    <row r="42" spans="2:9" ht="15.75">
      <c r="B42" s="6">
        <v>43243</v>
      </c>
      <c r="C42" s="34">
        <v>1805039</v>
      </c>
      <c r="D42" s="37" t="s">
        <v>275</v>
      </c>
      <c r="E42" s="24">
        <f>18951+8978+18980+3044+25588+18366+28562+36209+17402</f>
        <v>176080</v>
      </c>
      <c r="F42" s="24"/>
    </row>
    <row r="43" spans="2:9" ht="15.75">
      <c r="B43" s="6">
        <v>43243</v>
      </c>
      <c r="C43" s="36">
        <v>1805040</v>
      </c>
      <c r="D43" s="37" t="s">
        <v>276</v>
      </c>
      <c r="E43" s="24"/>
      <c r="F43" s="24">
        <v>6107</v>
      </c>
    </row>
    <row r="44" spans="2:9" ht="15.75">
      <c r="B44" s="14">
        <v>43244</v>
      </c>
      <c r="C44" s="36">
        <v>1805041</v>
      </c>
      <c r="D44" s="16" t="s">
        <v>277</v>
      </c>
      <c r="E44" s="25">
        <v>400000</v>
      </c>
      <c r="F44" s="25"/>
    </row>
    <row r="45" spans="2:9" ht="15.75">
      <c r="B45" s="14">
        <v>43244</v>
      </c>
      <c r="C45" s="34">
        <v>1805042</v>
      </c>
      <c r="D45" s="16" t="s">
        <v>278</v>
      </c>
      <c r="E45" s="25"/>
      <c r="F45" s="25">
        <v>200000</v>
      </c>
    </row>
    <row r="46" spans="2:9" ht="15.75">
      <c r="B46" s="14">
        <v>43244</v>
      </c>
      <c r="C46" s="36">
        <v>1805043</v>
      </c>
      <c r="D46" s="12" t="s">
        <v>279</v>
      </c>
      <c r="E46" s="25"/>
      <c r="F46" s="25">
        <v>142494</v>
      </c>
    </row>
    <row r="47" spans="2:9" ht="15.75">
      <c r="B47" s="14">
        <v>43244</v>
      </c>
      <c r="C47" s="36">
        <v>1805044</v>
      </c>
      <c r="D47" s="16" t="s">
        <v>280</v>
      </c>
      <c r="E47" s="25"/>
      <c r="F47" s="25">
        <v>52500</v>
      </c>
    </row>
    <row r="48" spans="2:9" s="32" customFormat="1" ht="15.75">
      <c r="B48" s="6">
        <v>43245</v>
      </c>
      <c r="C48" s="34">
        <v>1805045</v>
      </c>
      <c r="D48" s="35" t="s">
        <v>281</v>
      </c>
      <c r="E48" s="24"/>
      <c r="F48" s="24">
        <v>27500</v>
      </c>
      <c r="I48" s="51"/>
    </row>
    <row r="49" spans="2:9" s="32" customFormat="1" ht="15.75">
      <c r="B49" s="6">
        <v>43245</v>
      </c>
      <c r="C49" s="36">
        <v>1805046</v>
      </c>
      <c r="D49" s="37" t="s">
        <v>282</v>
      </c>
      <c r="E49" s="24"/>
      <c r="F49" s="24">
        <v>16500</v>
      </c>
      <c r="I49" s="51"/>
    </row>
    <row r="50" spans="2:9" s="32" customFormat="1" ht="15.75">
      <c r="B50" s="6">
        <v>43245</v>
      </c>
      <c r="C50" s="36">
        <v>1805047</v>
      </c>
      <c r="D50" s="37" t="s">
        <v>283</v>
      </c>
      <c r="E50" s="24">
        <f>14644+1534+27622+5900+40739+15742</f>
        <v>106181</v>
      </c>
      <c r="F50" s="24"/>
      <c r="I50" s="51"/>
    </row>
    <row r="51" spans="2:9" s="32" customFormat="1" ht="15.75">
      <c r="B51" s="6">
        <v>43246</v>
      </c>
      <c r="C51" s="36">
        <v>1805048</v>
      </c>
      <c r="D51" s="35" t="s">
        <v>284</v>
      </c>
      <c r="E51" s="24">
        <f>12344+62050+3387</f>
        <v>77781</v>
      </c>
      <c r="F51" s="24"/>
      <c r="I51" s="51"/>
    </row>
    <row r="52" spans="2:9" s="32" customFormat="1" ht="15.75">
      <c r="B52" s="6">
        <v>43248</v>
      </c>
      <c r="C52" s="36">
        <v>1805049</v>
      </c>
      <c r="D52" s="35" t="s">
        <v>285</v>
      </c>
      <c r="E52" s="24"/>
      <c r="F52" s="24">
        <v>3500</v>
      </c>
      <c r="I52" s="51"/>
    </row>
    <row r="53" spans="2:9" s="32" customFormat="1" ht="15.75">
      <c r="B53" s="6">
        <v>43248</v>
      </c>
      <c r="C53" s="36">
        <v>1805050</v>
      </c>
      <c r="D53" s="35" t="s">
        <v>286</v>
      </c>
      <c r="E53" s="24">
        <f>1728</f>
        <v>1728</v>
      </c>
      <c r="F53" s="24"/>
      <c r="I53" s="51"/>
    </row>
    <row r="54" spans="2:9" s="32" customFormat="1" ht="15.75">
      <c r="B54" s="6">
        <v>43249</v>
      </c>
      <c r="C54" s="36">
        <v>1805051</v>
      </c>
      <c r="D54" s="35" t="s">
        <v>287</v>
      </c>
      <c r="E54" s="24">
        <f>34438+6745+4137</f>
        <v>45320</v>
      </c>
      <c r="F54" s="24"/>
      <c r="I54" s="51"/>
    </row>
    <row r="55" spans="2:9" s="32" customFormat="1" ht="15.75">
      <c r="B55" s="6">
        <v>43250</v>
      </c>
      <c r="C55" s="36">
        <v>1805052</v>
      </c>
      <c r="D55" s="35" t="s">
        <v>288</v>
      </c>
      <c r="E55" s="24">
        <f>87256+30280+11154</f>
        <v>128690</v>
      </c>
      <c r="F55" s="24"/>
      <c r="I55" s="51"/>
    </row>
    <row r="56" spans="2:9" s="32" customFormat="1" ht="15.75">
      <c r="B56" s="6">
        <v>43251</v>
      </c>
      <c r="C56" s="36">
        <v>1805053</v>
      </c>
      <c r="D56" s="37" t="s">
        <v>289</v>
      </c>
      <c r="E56" s="24"/>
      <c r="F56" s="24">
        <v>100000</v>
      </c>
      <c r="I56" s="51"/>
    </row>
    <row r="57" spans="2:9" s="32" customFormat="1" ht="15.75">
      <c r="B57" s="6">
        <v>43251</v>
      </c>
      <c r="C57" s="36">
        <v>1805054</v>
      </c>
      <c r="D57" s="37" t="s">
        <v>290</v>
      </c>
      <c r="E57" s="24">
        <f>12136+9304+15381+3540</f>
        <v>40361</v>
      </c>
      <c r="F57" s="24"/>
      <c r="I57" s="51"/>
    </row>
    <row r="58" spans="2:9" s="32" customFormat="1" ht="15.75">
      <c r="B58" s="6">
        <v>43251</v>
      </c>
      <c r="C58" s="36">
        <v>1805055</v>
      </c>
      <c r="D58" s="37" t="s">
        <v>291</v>
      </c>
      <c r="E58" s="33"/>
      <c r="F58" s="33">
        <v>11200</v>
      </c>
      <c r="I58" s="51"/>
    </row>
    <row r="59" spans="2:9" s="32" customFormat="1" ht="15.75">
      <c r="B59" s="6">
        <v>43251</v>
      </c>
      <c r="C59" s="34">
        <v>1805056</v>
      </c>
      <c r="D59" s="37" t="s">
        <v>292</v>
      </c>
      <c r="E59" s="33">
        <f>37939</f>
        <v>37939</v>
      </c>
      <c r="F59" s="33"/>
      <c r="I59" s="51"/>
    </row>
    <row r="60" spans="2:9" s="32" customFormat="1" ht="15.75">
      <c r="B60" s="6">
        <v>43251</v>
      </c>
      <c r="C60" s="36">
        <v>1805057</v>
      </c>
      <c r="D60" s="37" t="s">
        <v>293</v>
      </c>
      <c r="E60" s="33"/>
      <c r="F60" s="33">
        <v>23500</v>
      </c>
      <c r="I60" s="51"/>
    </row>
    <row r="61" spans="2:9" ht="15.75">
      <c r="B61" s="18"/>
      <c r="C61" s="19"/>
      <c r="D61" s="20"/>
      <c r="E61" s="25">
        <f>SUM(E3:E60)</f>
        <v>6201519</v>
      </c>
      <c r="F61" s="25">
        <f>SUM(F3:F60)</f>
        <v>1727184</v>
      </c>
    </row>
    <row r="62" spans="2:9">
      <c r="B62" s="5"/>
      <c r="C62" s="27"/>
    </row>
    <row r="63" spans="2:9">
      <c r="B63" s="5"/>
      <c r="C63" s="27"/>
      <c r="E63" s="21" t="s">
        <v>6</v>
      </c>
      <c r="F63" s="17">
        <f>E61-F61</f>
        <v>4474335</v>
      </c>
    </row>
  </sheetData>
  <printOptions horizontalCentered="1"/>
  <pageMargins left="0" right="0" top="0" bottom="0" header="0" footer="0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J73"/>
  <sheetViews>
    <sheetView workbookViewId="0">
      <selection activeCell="F73" sqref="B2:F73"/>
    </sheetView>
  </sheetViews>
  <sheetFormatPr baseColWidth="10" defaultRowHeight="15"/>
  <cols>
    <col min="2" max="2" width="10.28515625" customWidth="1"/>
    <col min="3" max="3" width="11.85546875" customWidth="1"/>
    <col min="4" max="4" width="56.85546875" bestFit="1" customWidth="1"/>
    <col min="5" max="6" width="14.140625" bestFit="1" customWidth="1"/>
    <col min="8" max="8" width="7.42578125" bestFit="1" customWidth="1"/>
    <col min="9" max="9" width="23.5703125" bestFit="1" customWidth="1"/>
    <col min="10" max="10" width="14.140625" bestFit="1" customWidth="1"/>
  </cols>
  <sheetData>
    <row r="2" spans="2:7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7">
      <c r="B3" s="6">
        <v>43252</v>
      </c>
      <c r="C3" s="22"/>
      <c r="D3" s="8" t="s">
        <v>294</v>
      </c>
      <c r="E3" s="24">
        <f>'MAI 2018'!F63</f>
        <v>4474335</v>
      </c>
      <c r="F3" s="24"/>
    </row>
    <row r="4" spans="2:7" s="32" customFormat="1" ht="15.75">
      <c r="B4" s="6">
        <v>43252</v>
      </c>
      <c r="C4" s="36">
        <v>1806001</v>
      </c>
      <c r="D4" s="37" t="s">
        <v>295</v>
      </c>
      <c r="E4" s="24">
        <f>48235+1770+63820+16950+18154+54061</f>
        <v>202990</v>
      </c>
      <c r="F4" s="24"/>
    </row>
    <row r="5" spans="2:7" s="32" customFormat="1" ht="15.75">
      <c r="B5" s="6">
        <v>43253</v>
      </c>
      <c r="C5" s="36">
        <v>1806002</v>
      </c>
      <c r="D5" s="37" t="s">
        <v>296</v>
      </c>
      <c r="E5" s="24">
        <f>19659-9204+8596</f>
        <v>19051</v>
      </c>
      <c r="F5" s="24"/>
    </row>
    <row r="6" spans="2:7" s="32" customFormat="1" ht="15.75">
      <c r="B6" s="6">
        <v>43255</v>
      </c>
      <c r="C6" s="36">
        <v>1806003</v>
      </c>
      <c r="D6" s="37" t="s">
        <v>297</v>
      </c>
      <c r="E6" s="24"/>
      <c r="F6" s="24">
        <v>14260</v>
      </c>
    </row>
    <row r="7" spans="2:7" s="32" customFormat="1" ht="15.75">
      <c r="B7" s="6">
        <v>43255</v>
      </c>
      <c r="C7" s="36">
        <v>1806004</v>
      </c>
      <c r="D7" s="37" t="s">
        <v>298</v>
      </c>
      <c r="E7" s="24"/>
      <c r="F7" s="24">
        <v>1500</v>
      </c>
    </row>
    <row r="8" spans="2:7" s="32" customFormat="1" ht="15.75">
      <c r="B8" s="6">
        <v>43255</v>
      </c>
      <c r="C8" s="36">
        <v>1806005</v>
      </c>
      <c r="D8" s="37" t="s">
        <v>299</v>
      </c>
      <c r="E8" s="24"/>
      <c r="F8" s="24">
        <v>155050</v>
      </c>
    </row>
    <row r="9" spans="2:7" s="32" customFormat="1" ht="15.75">
      <c r="B9" s="6">
        <v>43255</v>
      </c>
      <c r="C9" s="36">
        <v>1806006</v>
      </c>
      <c r="D9" s="37" t="s">
        <v>300</v>
      </c>
      <c r="E9" s="24"/>
      <c r="F9" s="24">
        <v>7000</v>
      </c>
    </row>
    <row r="10" spans="2:7" s="32" customFormat="1" ht="15.75">
      <c r="B10" s="6">
        <v>43255</v>
      </c>
      <c r="C10" s="36">
        <v>1806007</v>
      </c>
      <c r="D10" s="37" t="s">
        <v>301</v>
      </c>
      <c r="E10" s="24">
        <f>5015+13390</f>
        <v>18405</v>
      </c>
      <c r="F10" s="24"/>
    </row>
    <row r="11" spans="2:7" s="32" customFormat="1" ht="15.75">
      <c r="B11" s="6">
        <v>43256</v>
      </c>
      <c r="C11" s="36">
        <v>1806008</v>
      </c>
      <c r="D11" s="37" t="s">
        <v>302</v>
      </c>
      <c r="E11" s="24"/>
      <c r="F11" s="24">
        <v>6000</v>
      </c>
    </row>
    <row r="12" spans="2:7" s="32" customFormat="1" ht="15.75">
      <c r="B12" s="6">
        <v>43256</v>
      </c>
      <c r="C12" s="36">
        <v>1806009</v>
      </c>
      <c r="D12" s="37" t="s">
        <v>277</v>
      </c>
      <c r="E12" s="24">
        <v>400000</v>
      </c>
      <c r="F12" s="24"/>
    </row>
    <row r="13" spans="2:7" ht="15.75">
      <c r="B13" s="54">
        <v>43256</v>
      </c>
      <c r="C13" s="36">
        <v>1806010</v>
      </c>
      <c r="D13" s="39" t="s">
        <v>303</v>
      </c>
      <c r="E13" s="24"/>
      <c r="F13" s="24">
        <v>2500</v>
      </c>
      <c r="G13" s="50"/>
    </row>
    <row r="14" spans="2:7" ht="15.75">
      <c r="B14" s="54">
        <v>43256</v>
      </c>
      <c r="C14" s="36">
        <v>1806011</v>
      </c>
      <c r="D14" s="39" t="s">
        <v>304</v>
      </c>
      <c r="E14" s="24">
        <v>40710</v>
      </c>
      <c r="F14" s="24"/>
    </row>
    <row r="15" spans="2:7" ht="15.75">
      <c r="B15" s="54">
        <v>43256</v>
      </c>
      <c r="C15" s="36">
        <v>1806012</v>
      </c>
      <c r="D15" s="39" t="s">
        <v>305</v>
      </c>
      <c r="E15" s="24">
        <f>9257+60900</f>
        <v>70157</v>
      </c>
      <c r="F15" s="24"/>
    </row>
    <row r="16" spans="2:7" ht="15.75">
      <c r="B16" s="54">
        <v>43257</v>
      </c>
      <c r="C16" s="36">
        <v>1806013</v>
      </c>
      <c r="D16" s="39" t="s">
        <v>306</v>
      </c>
      <c r="E16" s="24"/>
      <c r="F16" s="24">
        <v>95000</v>
      </c>
    </row>
    <row r="17" spans="2:10" ht="15.75">
      <c r="B17" s="54">
        <v>43257</v>
      </c>
      <c r="C17" s="36">
        <v>1806014</v>
      </c>
      <c r="D17" s="39" t="s">
        <v>307</v>
      </c>
      <c r="E17" s="24"/>
      <c r="F17" s="24">
        <v>100000</v>
      </c>
    </row>
    <row r="18" spans="2:10" ht="15.75">
      <c r="B18" s="54">
        <v>43257</v>
      </c>
      <c r="C18" s="36">
        <v>1806015</v>
      </c>
      <c r="D18" s="39" t="s">
        <v>308</v>
      </c>
      <c r="E18" s="24">
        <f>9540+39680+60280+17151+40220+10255</f>
        <v>177126</v>
      </c>
      <c r="F18" s="24"/>
    </row>
    <row r="19" spans="2:10" ht="15.75">
      <c r="B19" s="54">
        <v>43259</v>
      </c>
      <c r="C19" s="36">
        <v>1806016</v>
      </c>
      <c r="D19" s="39" t="s">
        <v>309</v>
      </c>
      <c r="E19" s="24"/>
      <c r="F19" s="24">
        <v>3000</v>
      </c>
      <c r="H19" s="53"/>
      <c r="I19" s="32"/>
      <c r="J19" s="32"/>
    </row>
    <row r="20" spans="2:10" ht="15.75">
      <c r="B20" s="54">
        <v>43259</v>
      </c>
      <c r="C20" s="36">
        <v>1806017</v>
      </c>
      <c r="D20" s="39" t="s">
        <v>310</v>
      </c>
      <c r="E20" s="24"/>
      <c r="F20" s="24">
        <v>144000</v>
      </c>
      <c r="H20" s="53"/>
    </row>
    <row r="21" spans="2:10" ht="15.75">
      <c r="B21" s="54">
        <v>43259</v>
      </c>
      <c r="C21" s="36">
        <v>1806018</v>
      </c>
      <c r="D21" s="39" t="s">
        <v>311</v>
      </c>
      <c r="E21" s="24"/>
      <c r="F21" s="24">
        <v>5000</v>
      </c>
      <c r="H21" s="53"/>
    </row>
    <row r="22" spans="2:10" ht="15.75">
      <c r="B22" s="54">
        <v>43259</v>
      </c>
      <c r="C22" s="36">
        <v>1806019</v>
      </c>
      <c r="D22" s="39" t="s">
        <v>312</v>
      </c>
      <c r="E22" s="24"/>
      <c r="F22" s="24">
        <v>54416</v>
      </c>
      <c r="H22" s="53"/>
    </row>
    <row r="23" spans="2:10" ht="15.75">
      <c r="B23" s="54">
        <v>43259</v>
      </c>
      <c r="C23" s="36">
        <v>1806020</v>
      </c>
      <c r="D23" s="39" t="s">
        <v>313</v>
      </c>
      <c r="E23" s="24">
        <f>7180</f>
        <v>7180</v>
      </c>
      <c r="F23" s="24"/>
    </row>
    <row r="24" spans="2:10" ht="15.75">
      <c r="B24" s="54">
        <v>43263</v>
      </c>
      <c r="C24" s="36">
        <v>1806021</v>
      </c>
      <c r="D24" s="39" t="s">
        <v>314</v>
      </c>
      <c r="E24" s="24">
        <f>21447+295028+2690</f>
        <v>319165</v>
      </c>
      <c r="F24" s="24"/>
    </row>
    <row r="25" spans="2:10" ht="15.75">
      <c r="B25" s="54">
        <v>43263</v>
      </c>
      <c r="C25" s="36">
        <v>1806022</v>
      </c>
      <c r="D25" s="39" t="s">
        <v>315</v>
      </c>
      <c r="E25" s="24"/>
      <c r="F25" s="24">
        <v>8000</v>
      </c>
    </row>
    <row r="26" spans="2:10" ht="15.75">
      <c r="B26" s="54">
        <v>43264</v>
      </c>
      <c r="C26" s="36">
        <v>1806023</v>
      </c>
      <c r="D26" s="39" t="s">
        <v>316</v>
      </c>
      <c r="E26" s="24">
        <v>7652</v>
      </c>
      <c r="F26" s="24"/>
    </row>
    <row r="27" spans="2:10" s="32" customFormat="1" ht="15.75">
      <c r="B27" s="54">
        <v>43264</v>
      </c>
      <c r="C27" s="36">
        <v>1806024</v>
      </c>
      <c r="D27" s="39" t="s">
        <v>317</v>
      </c>
      <c r="E27" s="24"/>
      <c r="F27" s="24">
        <v>5000</v>
      </c>
    </row>
    <row r="28" spans="2:10" ht="15.75">
      <c r="B28" s="54">
        <v>43264</v>
      </c>
      <c r="C28" s="36">
        <v>1806025</v>
      </c>
      <c r="D28" s="39" t="s">
        <v>318</v>
      </c>
      <c r="E28" s="24"/>
      <c r="F28" s="24">
        <v>50000</v>
      </c>
    </row>
    <row r="29" spans="2:10" ht="15.75">
      <c r="B29" s="54">
        <v>43264</v>
      </c>
      <c r="C29" s="36">
        <v>1806026</v>
      </c>
      <c r="D29" s="39" t="s">
        <v>319</v>
      </c>
      <c r="E29" s="24">
        <f>8950+10290+25399+75620</f>
        <v>120259</v>
      </c>
      <c r="F29" s="24"/>
    </row>
    <row r="30" spans="2:10" ht="15.75">
      <c r="B30" s="54">
        <v>43266</v>
      </c>
      <c r="C30" s="36">
        <v>1806027</v>
      </c>
      <c r="D30" s="39" t="s">
        <v>320</v>
      </c>
      <c r="E30" s="24"/>
      <c r="F30" s="24">
        <v>20000</v>
      </c>
    </row>
    <row r="31" spans="2:10" ht="15.75">
      <c r="B31" s="52">
        <v>43269</v>
      </c>
      <c r="C31" s="36">
        <v>1806028</v>
      </c>
      <c r="D31" s="37" t="s">
        <v>321</v>
      </c>
      <c r="E31" s="24"/>
      <c r="F31" s="24">
        <v>72500</v>
      </c>
    </row>
    <row r="32" spans="2:10" ht="15.75">
      <c r="B32" s="54">
        <v>43269</v>
      </c>
      <c r="C32" s="36">
        <v>1806029</v>
      </c>
      <c r="D32" s="16" t="s">
        <v>322</v>
      </c>
      <c r="E32" s="24"/>
      <c r="F32" s="24">
        <v>25000</v>
      </c>
    </row>
    <row r="33" spans="2:6" ht="15.75">
      <c r="B33" s="54">
        <v>43269</v>
      </c>
      <c r="C33" s="36">
        <v>1806030</v>
      </c>
      <c r="D33" s="16" t="s">
        <v>323</v>
      </c>
      <c r="E33" s="24"/>
      <c r="F33" s="24">
        <v>2000</v>
      </c>
    </row>
    <row r="34" spans="2:6" ht="15.75">
      <c r="B34" s="54">
        <v>43269</v>
      </c>
      <c r="C34" s="36">
        <v>1806031</v>
      </c>
      <c r="D34" s="12" t="s">
        <v>324</v>
      </c>
      <c r="E34" s="24">
        <f>3304+25116+4248+28687+58876+4248+13080+9789+4889</f>
        <v>152237</v>
      </c>
      <c r="F34" s="24"/>
    </row>
    <row r="35" spans="2:6" ht="15.75">
      <c r="B35" s="54">
        <v>43270</v>
      </c>
      <c r="C35" s="36">
        <v>1806032</v>
      </c>
      <c r="D35" s="12" t="s">
        <v>325</v>
      </c>
      <c r="E35" s="24"/>
      <c r="F35" s="24">
        <v>12000</v>
      </c>
    </row>
    <row r="36" spans="2:6" ht="15.75">
      <c r="B36" s="54">
        <v>43270</v>
      </c>
      <c r="C36" s="36">
        <v>1806033</v>
      </c>
      <c r="D36" s="16" t="s">
        <v>326</v>
      </c>
      <c r="E36" s="24">
        <f>71313+7817</f>
        <v>79130</v>
      </c>
      <c r="F36" s="24"/>
    </row>
    <row r="37" spans="2:6" ht="15.75">
      <c r="B37" s="54">
        <v>43270</v>
      </c>
      <c r="C37" s="36">
        <v>1806034</v>
      </c>
      <c r="D37" s="12" t="s">
        <v>327</v>
      </c>
      <c r="E37" s="24"/>
      <c r="F37" s="24">
        <v>10000</v>
      </c>
    </row>
    <row r="38" spans="2:6" ht="15.75">
      <c r="B38" s="54">
        <v>43271</v>
      </c>
      <c r="C38" s="36">
        <v>1806035</v>
      </c>
      <c r="D38" s="16" t="s">
        <v>328</v>
      </c>
      <c r="E38" s="24"/>
      <c r="F38" s="24">
        <v>30100</v>
      </c>
    </row>
    <row r="39" spans="2:6" ht="15.75">
      <c r="B39" s="54">
        <v>43271</v>
      </c>
      <c r="C39" s="36">
        <v>1806036</v>
      </c>
      <c r="D39" s="12" t="s">
        <v>329</v>
      </c>
      <c r="E39" s="24"/>
      <c r="F39" s="24">
        <v>15000</v>
      </c>
    </row>
    <row r="40" spans="2:6" ht="15.75">
      <c r="B40" s="54">
        <v>43271</v>
      </c>
      <c r="C40" s="36">
        <v>1806037</v>
      </c>
      <c r="D40" s="12" t="s">
        <v>330</v>
      </c>
      <c r="E40" s="24"/>
      <c r="F40" s="24">
        <v>300000</v>
      </c>
    </row>
    <row r="41" spans="2:6" ht="15.75">
      <c r="B41" s="54">
        <v>43271</v>
      </c>
      <c r="C41" s="36">
        <v>1806038</v>
      </c>
      <c r="D41" s="28" t="s">
        <v>331</v>
      </c>
      <c r="E41" s="24">
        <f>27004+3540+2856</f>
        <v>33400</v>
      </c>
      <c r="F41" s="24"/>
    </row>
    <row r="42" spans="2:6" ht="15.75">
      <c r="B42" s="54">
        <v>43272</v>
      </c>
      <c r="C42" s="36">
        <v>1806039</v>
      </c>
      <c r="D42" s="16" t="s">
        <v>332</v>
      </c>
      <c r="E42" s="24"/>
      <c r="F42" s="24">
        <v>30001</v>
      </c>
    </row>
    <row r="43" spans="2:6" ht="15.75">
      <c r="B43" s="54">
        <v>43272</v>
      </c>
      <c r="C43" s="36">
        <v>1806040</v>
      </c>
      <c r="D43" s="12" t="s">
        <v>333</v>
      </c>
      <c r="E43" s="24"/>
      <c r="F43" s="24">
        <v>10000</v>
      </c>
    </row>
    <row r="44" spans="2:6" ht="15.75">
      <c r="B44" s="54">
        <v>43272</v>
      </c>
      <c r="C44" s="36">
        <v>1806041</v>
      </c>
      <c r="D44" s="16" t="s">
        <v>334</v>
      </c>
      <c r="E44" s="24">
        <f>21965+14850+26931</f>
        <v>63746</v>
      </c>
      <c r="F44" s="24"/>
    </row>
    <row r="45" spans="2:6" ht="15.75">
      <c r="B45" s="54">
        <v>43273</v>
      </c>
      <c r="C45" s="36">
        <v>1806042</v>
      </c>
      <c r="D45" s="16" t="s">
        <v>335</v>
      </c>
      <c r="E45" s="24"/>
      <c r="F45" s="24">
        <v>20000</v>
      </c>
    </row>
    <row r="46" spans="2:6" ht="15.75">
      <c r="B46" s="54">
        <v>43273</v>
      </c>
      <c r="C46" s="36">
        <v>1806043</v>
      </c>
      <c r="D46" s="16" t="s">
        <v>336</v>
      </c>
      <c r="E46" s="24">
        <f>25677+30450+31724+23169+5404+21163+2655+18980</f>
        <v>159222</v>
      </c>
      <c r="F46" s="24"/>
    </row>
    <row r="47" spans="2:6" ht="15.75">
      <c r="B47" s="14">
        <v>43276</v>
      </c>
      <c r="C47" s="36">
        <v>1806044</v>
      </c>
      <c r="D47" s="16" t="s">
        <v>337</v>
      </c>
      <c r="E47" s="24"/>
      <c r="F47" s="24">
        <v>3500</v>
      </c>
    </row>
    <row r="48" spans="2:6" ht="15.75">
      <c r="B48" s="14">
        <v>43277</v>
      </c>
      <c r="C48" s="36">
        <v>1806045</v>
      </c>
      <c r="D48" s="16" t="s">
        <v>338</v>
      </c>
      <c r="E48" s="24"/>
      <c r="F48" s="24">
        <v>5000</v>
      </c>
    </row>
    <row r="49" spans="2:6" ht="15.75">
      <c r="B49" s="14">
        <v>43277</v>
      </c>
      <c r="C49" s="36">
        <v>1806046</v>
      </c>
      <c r="D49" s="16" t="s">
        <v>339</v>
      </c>
      <c r="E49" s="24"/>
      <c r="F49" s="24">
        <v>2000</v>
      </c>
    </row>
    <row r="50" spans="2:6" ht="15.75">
      <c r="B50" s="14">
        <v>43277</v>
      </c>
      <c r="C50" s="36">
        <v>1806047</v>
      </c>
      <c r="D50" s="16" t="s">
        <v>340</v>
      </c>
      <c r="E50" s="24"/>
      <c r="F50" s="24">
        <v>45000</v>
      </c>
    </row>
    <row r="51" spans="2:6" ht="15.75">
      <c r="B51" s="14">
        <v>43277</v>
      </c>
      <c r="C51" s="36">
        <v>1806048</v>
      </c>
      <c r="D51" s="16" t="s">
        <v>341</v>
      </c>
      <c r="E51" s="24">
        <f>14694+9540+30441</f>
        <v>54675</v>
      </c>
      <c r="F51" s="24"/>
    </row>
    <row r="52" spans="2:6" ht="15.75">
      <c r="B52" s="14">
        <v>43277</v>
      </c>
      <c r="C52" s="36">
        <v>1806049</v>
      </c>
      <c r="D52" s="16" t="s">
        <v>342</v>
      </c>
      <c r="E52" s="24"/>
      <c r="F52" s="24">
        <v>12500</v>
      </c>
    </row>
    <row r="53" spans="2:6" ht="15.75">
      <c r="B53" s="14">
        <v>43277</v>
      </c>
      <c r="C53" s="36">
        <v>1806050</v>
      </c>
      <c r="D53" s="16" t="s">
        <v>343</v>
      </c>
      <c r="E53" s="24"/>
      <c r="F53" s="24">
        <v>130000</v>
      </c>
    </row>
    <row r="54" spans="2:6" ht="15.75">
      <c r="B54" s="14">
        <v>43278</v>
      </c>
      <c r="C54" s="36">
        <v>1806051</v>
      </c>
      <c r="D54" s="16" t="s">
        <v>344</v>
      </c>
      <c r="E54" s="24">
        <v>300000</v>
      </c>
      <c r="F54" s="24"/>
    </row>
    <row r="55" spans="2:6" ht="15.75">
      <c r="B55" s="14">
        <v>43278</v>
      </c>
      <c r="C55" s="36">
        <v>1806052</v>
      </c>
      <c r="D55" s="16" t="s">
        <v>345</v>
      </c>
      <c r="E55" s="24"/>
      <c r="F55" s="24">
        <v>6000</v>
      </c>
    </row>
    <row r="56" spans="2:6" ht="15.75">
      <c r="B56" s="14">
        <v>43278</v>
      </c>
      <c r="C56" s="36">
        <v>1806053</v>
      </c>
      <c r="D56" s="16" t="s">
        <v>346</v>
      </c>
      <c r="E56" s="24">
        <f>11251+219886</f>
        <v>231137</v>
      </c>
      <c r="F56" s="24"/>
    </row>
    <row r="57" spans="2:6" ht="15.75">
      <c r="B57" s="14">
        <v>43278</v>
      </c>
      <c r="C57" s="36">
        <v>1806054</v>
      </c>
      <c r="D57" s="16" t="s">
        <v>347</v>
      </c>
      <c r="E57" s="24"/>
      <c r="F57" s="24">
        <v>3500</v>
      </c>
    </row>
    <row r="58" spans="2:6" ht="15.75">
      <c r="B58" s="14">
        <v>43279</v>
      </c>
      <c r="C58" s="36">
        <v>1806055</v>
      </c>
      <c r="D58" s="12" t="s">
        <v>348</v>
      </c>
      <c r="E58" s="24"/>
      <c r="F58" s="24">
        <v>30404</v>
      </c>
    </row>
    <row r="59" spans="2:6" ht="15.75">
      <c r="B59" s="14">
        <v>43279</v>
      </c>
      <c r="C59" s="36">
        <v>1806056</v>
      </c>
      <c r="D59" s="16" t="s">
        <v>349</v>
      </c>
      <c r="E59" s="24"/>
      <c r="F59" s="24">
        <v>18000</v>
      </c>
    </row>
    <row r="60" spans="2:6" ht="15.75">
      <c r="B60" s="14">
        <v>43279</v>
      </c>
      <c r="C60" s="36">
        <v>1806057</v>
      </c>
      <c r="D60" s="16" t="s">
        <v>350</v>
      </c>
      <c r="E60" s="24"/>
      <c r="F60" s="24">
        <v>30100</v>
      </c>
    </row>
    <row r="61" spans="2:6" ht="15.75">
      <c r="B61" s="14">
        <v>43279</v>
      </c>
      <c r="C61" s="36">
        <v>1806058</v>
      </c>
      <c r="D61" s="16" t="s">
        <v>351</v>
      </c>
      <c r="E61" s="24"/>
      <c r="F61" s="24">
        <v>95000</v>
      </c>
    </row>
    <row r="62" spans="2:6" ht="15.75">
      <c r="B62" s="14">
        <v>43279</v>
      </c>
      <c r="C62" s="36">
        <v>1806059</v>
      </c>
      <c r="D62" s="16" t="s">
        <v>352</v>
      </c>
      <c r="E62" s="24">
        <f>26626+3717+39635</f>
        <v>69978</v>
      </c>
      <c r="F62" s="24"/>
    </row>
    <row r="63" spans="2:6" ht="15.75">
      <c r="B63" s="14">
        <v>43280</v>
      </c>
      <c r="C63" s="36">
        <v>1806060</v>
      </c>
      <c r="D63" s="16" t="s">
        <v>353</v>
      </c>
      <c r="E63" s="24"/>
      <c r="F63" s="24">
        <v>30000</v>
      </c>
    </row>
    <row r="64" spans="2:6" ht="15.75">
      <c r="B64" s="14">
        <v>43280</v>
      </c>
      <c r="C64" s="36">
        <v>1806061</v>
      </c>
      <c r="D64" s="16" t="s">
        <v>354</v>
      </c>
      <c r="E64" s="24"/>
      <c r="F64" s="24">
        <v>30100</v>
      </c>
    </row>
    <row r="65" spans="2:6" ht="15.75">
      <c r="B65" s="14">
        <v>43280</v>
      </c>
      <c r="C65" s="36">
        <v>1806062</v>
      </c>
      <c r="D65" s="12" t="s">
        <v>355</v>
      </c>
      <c r="E65" s="25">
        <f>2006+18036</f>
        <v>20042</v>
      </c>
      <c r="F65" s="25"/>
    </row>
    <row r="66" spans="2:6" ht="15.75">
      <c r="B66" s="14">
        <v>43280</v>
      </c>
      <c r="C66" s="36">
        <v>1806063</v>
      </c>
      <c r="D66" s="37" t="s">
        <v>356</v>
      </c>
      <c r="E66" s="25"/>
      <c r="F66" s="25">
        <v>100000</v>
      </c>
    </row>
    <row r="67" spans="2:6" ht="15.75">
      <c r="B67" s="14">
        <v>43280</v>
      </c>
      <c r="C67" s="36">
        <v>1806064</v>
      </c>
      <c r="D67" s="16" t="s">
        <v>359</v>
      </c>
      <c r="E67" s="25"/>
      <c r="F67" s="25">
        <v>645000</v>
      </c>
    </row>
    <row r="68" spans="2:6" ht="15.75">
      <c r="B68" s="14">
        <v>43281</v>
      </c>
      <c r="C68" s="36">
        <v>1806065</v>
      </c>
      <c r="D68" s="16" t="s">
        <v>360</v>
      </c>
      <c r="E68" s="25"/>
      <c r="F68" s="25">
        <v>4000</v>
      </c>
    </row>
    <row r="69" spans="2:6" ht="15.75">
      <c r="B69" s="14">
        <v>43281</v>
      </c>
      <c r="C69" s="36">
        <v>1806066</v>
      </c>
      <c r="D69" s="12" t="s">
        <v>361</v>
      </c>
      <c r="E69" s="25">
        <f>5605+20166+5074</f>
        <v>30845</v>
      </c>
      <c r="F69" s="25"/>
    </row>
    <row r="70" spans="2:6" ht="15.75">
      <c r="B70" s="14">
        <v>43281</v>
      </c>
      <c r="C70" s="34">
        <v>1806067</v>
      </c>
      <c r="D70" s="12" t="s">
        <v>362</v>
      </c>
      <c r="E70" s="25">
        <v>944</v>
      </c>
      <c r="F70" s="25"/>
    </row>
    <row r="71" spans="2:6" ht="15.75">
      <c r="B71" s="18"/>
      <c r="C71" s="19"/>
      <c r="D71" s="20"/>
      <c r="E71" s="25">
        <f>SUM(E3:E70)</f>
        <v>7052386</v>
      </c>
      <c r="F71" s="25">
        <f>SUM(F3:F70)</f>
        <v>2387431</v>
      </c>
    </row>
    <row r="72" spans="2:6">
      <c r="B72" s="5"/>
      <c r="C72" s="27"/>
    </row>
    <row r="73" spans="2:6">
      <c r="B73" s="5"/>
      <c r="C73" s="27"/>
      <c r="E73" s="21" t="s">
        <v>6</v>
      </c>
      <c r="F73" s="17">
        <f>E71-F71</f>
        <v>4664955</v>
      </c>
    </row>
  </sheetData>
  <printOptions horizontalCentered="1"/>
  <pageMargins left="0" right="0" top="0" bottom="0" header="0" footer="0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G71"/>
  <sheetViews>
    <sheetView topLeftCell="A49" workbookViewId="0">
      <selection activeCell="B2" sqref="B2:F71"/>
    </sheetView>
  </sheetViews>
  <sheetFormatPr baseColWidth="10" defaultRowHeight="15"/>
  <cols>
    <col min="2" max="2" width="8.7109375" customWidth="1"/>
    <col min="3" max="3" width="10.7109375" customWidth="1"/>
    <col min="4" max="4" width="51.5703125" bestFit="1" customWidth="1"/>
    <col min="5" max="6" width="14.140625" bestFit="1" customWidth="1"/>
    <col min="8" max="8" width="7.42578125" bestFit="1" customWidth="1"/>
    <col min="9" max="9" width="23.5703125" bestFit="1" customWidth="1"/>
    <col min="10" max="10" width="14.140625" bestFit="1" customWidth="1"/>
  </cols>
  <sheetData>
    <row r="2" spans="2:7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7">
      <c r="B3" s="6">
        <v>43282</v>
      </c>
      <c r="C3" s="22"/>
      <c r="D3" s="8" t="s">
        <v>357</v>
      </c>
      <c r="E3" s="24">
        <f>'JUIN 2018'!F73</f>
        <v>4664955</v>
      </c>
      <c r="F3" s="24"/>
    </row>
    <row r="4" spans="2:7" ht="15.75">
      <c r="B4" s="10">
        <v>43283</v>
      </c>
      <c r="C4" s="11">
        <v>1807001</v>
      </c>
      <c r="D4" s="16" t="s">
        <v>358</v>
      </c>
      <c r="E4" s="25"/>
      <c r="F4" s="25">
        <v>60000</v>
      </c>
    </row>
    <row r="5" spans="2:7" ht="15.75">
      <c r="B5" s="54">
        <v>43283</v>
      </c>
      <c r="C5" s="15">
        <v>1807002</v>
      </c>
      <c r="D5" s="39" t="s">
        <v>298</v>
      </c>
      <c r="E5" s="39"/>
      <c r="F5" s="55">
        <v>2000</v>
      </c>
      <c r="G5" s="50"/>
    </row>
    <row r="6" spans="2:7" ht="15.75">
      <c r="B6" s="54">
        <v>43283</v>
      </c>
      <c r="C6" s="11">
        <v>1807003</v>
      </c>
      <c r="D6" s="39" t="s">
        <v>365</v>
      </c>
      <c r="E6" s="39">
        <f>14496+3245</f>
        <v>17741</v>
      </c>
      <c r="F6" s="55"/>
    </row>
    <row r="7" spans="2:7" ht="15.75">
      <c r="B7" s="54">
        <v>43285</v>
      </c>
      <c r="C7" s="15">
        <v>1807004</v>
      </c>
      <c r="D7" s="39" t="s">
        <v>364</v>
      </c>
      <c r="E7" s="39"/>
      <c r="F7" s="55">
        <v>100000</v>
      </c>
    </row>
    <row r="8" spans="2:7" ht="15.75">
      <c r="B8" s="54">
        <v>43285</v>
      </c>
      <c r="C8" s="11">
        <v>1807005</v>
      </c>
      <c r="D8" s="39" t="s">
        <v>363</v>
      </c>
      <c r="E8" s="39"/>
      <c r="F8" s="55">
        <v>100000</v>
      </c>
      <c r="G8" s="32"/>
    </row>
    <row r="9" spans="2:7" s="32" customFormat="1" ht="15.75">
      <c r="B9" s="6">
        <v>43286</v>
      </c>
      <c r="C9" s="34">
        <v>1807006</v>
      </c>
      <c r="D9" s="37" t="s">
        <v>366</v>
      </c>
      <c r="E9" s="24"/>
      <c r="F9" s="24">
        <f>4420696</f>
        <v>4420696</v>
      </c>
    </row>
    <row r="10" spans="2:7" ht="15.75">
      <c r="B10" s="14">
        <v>43286</v>
      </c>
      <c r="C10" s="11">
        <v>1807007</v>
      </c>
      <c r="D10" s="12" t="s">
        <v>367</v>
      </c>
      <c r="E10" s="26">
        <v>70000</v>
      </c>
      <c r="F10" s="26"/>
    </row>
    <row r="11" spans="2:7" ht="15.75">
      <c r="B11" s="14">
        <v>43286</v>
      </c>
      <c r="C11" s="15">
        <v>1807008</v>
      </c>
      <c r="D11" s="12" t="s">
        <v>368</v>
      </c>
      <c r="E11" s="26">
        <f>5782+3540+13198+13080+7770+1180</f>
        <v>44550</v>
      </c>
      <c r="F11" s="26"/>
    </row>
    <row r="12" spans="2:7" ht="15.75">
      <c r="B12" s="14">
        <v>43287</v>
      </c>
      <c r="C12" s="11">
        <v>1807009</v>
      </c>
      <c r="D12" s="12" t="s">
        <v>369</v>
      </c>
      <c r="E12" s="26">
        <f>55796+67301+28420+3862+417861+10720+21812+50104</f>
        <v>655876</v>
      </c>
      <c r="F12" s="26"/>
    </row>
    <row r="13" spans="2:7" ht="15.75">
      <c r="B13" s="14">
        <v>43287</v>
      </c>
      <c r="C13" s="15">
        <v>1807010</v>
      </c>
      <c r="D13" s="16" t="s">
        <v>370</v>
      </c>
      <c r="E13" s="26"/>
      <c r="F13" s="26">
        <v>45500</v>
      </c>
    </row>
    <row r="14" spans="2:7" ht="15.75">
      <c r="B14" s="14">
        <v>43288</v>
      </c>
      <c r="C14" s="11">
        <v>1807011</v>
      </c>
      <c r="D14" s="12" t="s">
        <v>371</v>
      </c>
      <c r="E14" s="26"/>
      <c r="F14" s="26">
        <v>11000</v>
      </c>
    </row>
    <row r="15" spans="2:7" ht="15.75">
      <c r="B15" s="14">
        <v>43288</v>
      </c>
      <c r="C15" s="15">
        <v>1807012</v>
      </c>
      <c r="D15" s="16" t="s">
        <v>372</v>
      </c>
      <c r="E15" s="26"/>
      <c r="F15" s="26">
        <v>35000</v>
      </c>
    </row>
    <row r="16" spans="2:7" ht="15.75">
      <c r="B16" s="14">
        <v>43290</v>
      </c>
      <c r="C16" s="11">
        <v>1807013</v>
      </c>
      <c r="D16" s="16" t="s">
        <v>373</v>
      </c>
      <c r="E16" s="26"/>
      <c r="F16" s="26">
        <v>60000</v>
      </c>
    </row>
    <row r="17" spans="2:6" ht="15.75">
      <c r="B17" s="54">
        <v>43290</v>
      </c>
      <c r="C17" s="15">
        <v>1807014</v>
      </c>
      <c r="D17" s="39" t="s">
        <v>374</v>
      </c>
      <c r="E17" s="39"/>
      <c r="F17" s="55">
        <v>2000</v>
      </c>
    </row>
    <row r="18" spans="2:6" ht="15.75">
      <c r="B18" s="54">
        <v>43290</v>
      </c>
      <c r="C18" s="11">
        <v>1807015</v>
      </c>
      <c r="D18" s="39" t="s">
        <v>375</v>
      </c>
      <c r="E18" s="39">
        <f>26680</f>
        <v>26680</v>
      </c>
      <c r="F18" s="39"/>
    </row>
    <row r="19" spans="2:6" ht="15.75">
      <c r="B19" s="54">
        <v>43291</v>
      </c>
      <c r="C19" s="15">
        <v>1807016</v>
      </c>
      <c r="D19" s="39" t="s">
        <v>376</v>
      </c>
      <c r="E19" s="39">
        <f>18272+4720</f>
        <v>22992</v>
      </c>
      <c r="F19" s="55"/>
    </row>
    <row r="20" spans="2:6" ht="15.75">
      <c r="B20" s="54">
        <v>43292</v>
      </c>
      <c r="C20" s="11">
        <v>1807017</v>
      </c>
      <c r="D20" s="39" t="s">
        <v>83</v>
      </c>
      <c r="E20" s="39"/>
      <c r="F20" s="55">
        <v>500</v>
      </c>
    </row>
    <row r="21" spans="2:6" ht="15.75">
      <c r="B21" s="54">
        <v>43292</v>
      </c>
      <c r="C21" s="15">
        <v>1807018</v>
      </c>
      <c r="D21" s="39" t="s">
        <v>377</v>
      </c>
      <c r="E21" s="39"/>
      <c r="F21" s="55">
        <v>32500</v>
      </c>
    </row>
    <row r="22" spans="2:6" ht="15.75">
      <c r="B22" s="54">
        <v>43292</v>
      </c>
      <c r="C22" s="11">
        <v>1807019</v>
      </c>
      <c r="D22" s="39" t="s">
        <v>378</v>
      </c>
      <c r="E22" s="39"/>
      <c r="F22" s="39">
        <v>25000</v>
      </c>
    </row>
    <row r="23" spans="2:6" ht="15.75">
      <c r="B23" s="54">
        <v>43292</v>
      </c>
      <c r="C23" s="15">
        <v>1807020</v>
      </c>
      <c r="D23" s="39" t="s">
        <v>379</v>
      </c>
      <c r="E23" s="39"/>
      <c r="F23" s="55">
        <v>500</v>
      </c>
    </row>
    <row r="24" spans="2:6" ht="15.75">
      <c r="B24" s="54">
        <v>43292</v>
      </c>
      <c r="C24" s="11">
        <v>1807021</v>
      </c>
      <c r="D24" s="39" t="s">
        <v>380</v>
      </c>
      <c r="E24" s="39">
        <f>37211+32777+150287+26318+4865+83349+5900</f>
        <v>340707</v>
      </c>
      <c r="F24" s="39"/>
    </row>
    <row r="25" spans="2:6" ht="15.75">
      <c r="B25" s="54">
        <v>43293</v>
      </c>
      <c r="C25" s="15">
        <v>1807022</v>
      </c>
      <c r="D25" s="39" t="s">
        <v>381</v>
      </c>
      <c r="E25" s="39"/>
      <c r="F25" s="39">
        <v>17000</v>
      </c>
    </row>
    <row r="26" spans="2:6" ht="15.75">
      <c r="B26" s="54">
        <v>43293</v>
      </c>
      <c r="C26" s="11">
        <v>1807023</v>
      </c>
      <c r="D26" s="39" t="s">
        <v>382</v>
      </c>
      <c r="E26" s="39"/>
      <c r="F26" s="55">
        <v>29000</v>
      </c>
    </row>
    <row r="27" spans="2:6" ht="15.75">
      <c r="B27" s="54">
        <v>43293</v>
      </c>
      <c r="C27" s="15">
        <v>1807024</v>
      </c>
      <c r="D27" s="39" t="s">
        <v>383</v>
      </c>
      <c r="E27" s="39">
        <f>20882</f>
        <v>20882</v>
      </c>
      <c r="F27" s="39"/>
    </row>
    <row r="28" spans="2:6" ht="15.75">
      <c r="B28" s="54">
        <v>43294</v>
      </c>
      <c r="C28" s="11">
        <v>1807025</v>
      </c>
      <c r="D28" s="39" t="s">
        <v>384</v>
      </c>
      <c r="E28" s="39"/>
      <c r="F28" s="55">
        <v>13000</v>
      </c>
    </row>
    <row r="29" spans="2:6" ht="15.75">
      <c r="B29" s="54">
        <v>43294</v>
      </c>
      <c r="C29" s="15">
        <v>1807026</v>
      </c>
      <c r="D29" s="39" t="s">
        <v>385</v>
      </c>
      <c r="E29" s="39"/>
      <c r="F29" s="55">
        <v>15000</v>
      </c>
    </row>
    <row r="30" spans="2:6" ht="15.75">
      <c r="B30" s="54">
        <v>43294</v>
      </c>
      <c r="C30" s="11">
        <v>1807027</v>
      </c>
      <c r="D30" s="39" t="s">
        <v>386</v>
      </c>
      <c r="E30" s="39"/>
      <c r="F30" s="55">
        <v>20000</v>
      </c>
    </row>
    <row r="31" spans="2:6" ht="15.75">
      <c r="B31" s="54">
        <v>43294</v>
      </c>
      <c r="C31" s="15">
        <v>1807028</v>
      </c>
      <c r="D31" s="39" t="s">
        <v>387</v>
      </c>
      <c r="E31" s="39"/>
      <c r="F31" s="55">
        <v>80000</v>
      </c>
    </row>
    <row r="32" spans="2:6" ht="15.75">
      <c r="B32" s="52">
        <v>43294</v>
      </c>
      <c r="C32" s="11">
        <v>1807029</v>
      </c>
      <c r="D32" s="37" t="s">
        <v>388</v>
      </c>
      <c r="E32" s="24">
        <f>15044+30591+6355+34615+12278+36798</f>
        <v>135681</v>
      </c>
      <c r="F32" s="57"/>
    </row>
    <row r="33" spans="2:6" ht="15.75">
      <c r="B33" s="54">
        <v>43294</v>
      </c>
      <c r="C33" s="15">
        <v>1807030</v>
      </c>
      <c r="D33" s="16" t="s">
        <v>389</v>
      </c>
      <c r="E33" s="26"/>
      <c r="F33" s="58">
        <v>4000</v>
      </c>
    </row>
    <row r="34" spans="2:6" ht="15.75">
      <c r="B34" s="54">
        <v>43295</v>
      </c>
      <c r="C34" s="11">
        <v>1807031</v>
      </c>
      <c r="D34" s="16" t="s">
        <v>390</v>
      </c>
      <c r="E34" s="26">
        <f>103510</f>
        <v>103510</v>
      </c>
      <c r="F34" s="26"/>
    </row>
    <row r="35" spans="2:6" ht="15.75">
      <c r="B35" s="54">
        <v>43297</v>
      </c>
      <c r="C35" s="15">
        <v>1807032</v>
      </c>
      <c r="D35" s="12" t="s">
        <v>258</v>
      </c>
      <c r="E35" s="26"/>
      <c r="F35" s="26">
        <v>3000</v>
      </c>
    </row>
    <row r="36" spans="2:6" ht="15.75">
      <c r="B36" s="54">
        <v>43298</v>
      </c>
      <c r="C36" s="11">
        <v>1807033</v>
      </c>
      <c r="D36" s="12" t="s">
        <v>391</v>
      </c>
      <c r="E36" s="26"/>
      <c r="F36" s="26">
        <v>5000</v>
      </c>
    </row>
    <row r="37" spans="2:6" ht="15.75">
      <c r="B37" s="54">
        <v>43298</v>
      </c>
      <c r="C37" s="15">
        <v>1807034</v>
      </c>
      <c r="D37" s="16" t="s">
        <v>392</v>
      </c>
      <c r="E37" s="26"/>
      <c r="F37" s="24">
        <v>48000</v>
      </c>
    </row>
    <row r="38" spans="2:6" ht="15.75">
      <c r="B38" s="54">
        <v>43298</v>
      </c>
      <c r="C38" s="11">
        <v>1807035</v>
      </c>
      <c r="D38" s="12" t="s">
        <v>393</v>
      </c>
      <c r="E38" s="26"/>
      <c r="F38" s="26">
        <v>117000</v>
      </c>
    </row>
    <row r="39" spans="2:6" ht="15.75">
      <c r="B39" s="54">
        <v>43298</v>
      </c>
      <c r="C39" s="15">
        <v>1807036</v>
      </c>
      <c r="D39" s="16" t="s">
        <v>345</v>
      </c>
      <c r="E39" s="26"/>
      <c r="F39" s="26">
        <v>6000</v>
      </c>
    </row>
    <row r="40" spans="2:6" ht="15.75">
      <c r="B40" s="54">
        <v>43298</v>
      </c>
      <c r="C40" s="11">
        <v>1807037</v>
      </c>
      <c r="D40" s="12" t="s">
        <v>394</v>
      </c>
      <c r="E40" s="26">
        <f>19910</f>
        <v>19910</v>
      </c>
      <c r="F40" s="26"/>
    </row>
    <row r="41" spans="2:6" ht="15.75">
      <c r="B41" s="54">
        <v>43299</v>
      </c>
      <c r="C41" s="15">
        <v>1807038</v>
      </c>
      <c r="D41" s="12" t="s">
        <v>395</v>
      </c>
      <c r="E41" s="26"/>
      <c r="F41" s="26">
        <v>15500</v>
      </c>
    </row>
    <row r="42" spans="2:6" ht="15.75">
      <c r="B42" s="54">
        <v>43299</v>
      </c>
      <c r="C42" s="11">
        <v>1807039</v>
      </c>
      <c r="D42" s="28" t="s">
        <v>396</v>
      </c>
      <c r="E42" s="26"/>
      <c r="F42" s="29">
        <v>2253</v>
      </c>
    </row>
    <row r="43" spans="2:6" ht="15.75">
      <c r="B43" s="54">
        <v>43299</v>
      </c>
      <c r="C43" s="15">
        <v>1807040</v>
      </c>
      <c r="D43" s="16" t="s">
        <v>397</v>
      </c>
      <c r="E43" s="26">
        <f>-50976+74440+8596+36208</f>
        <v>68268</v>
      </c>
      <c r="F43" s="26"/>
    </row>
    <row r="44" spans="2:6" ht="15.75">
      <c r="B44" s="54">
        <v>43300</v>
      </c>
      <c r="C44" s="11">
        <v>1807041</v>
      </c>
      <c r="D44" s="12" t="s">
        <v>398</v>
      </c>
      <c r="E44" s="26">
        <f>19358+4425+28798</f>
        <v>52581</v>
      </c>
      <c r="F44" s="26"/>
    </row>
    <row r="45" spans="2:6" ht="15.75">
      <c r="B45" s="54">
        <v>43301</v>
      </c>
      <c r="C45" s="15">
        <v>1807042</v>
      </c>
      <c r="D45" s="16" t="s">
        <v>399</v>
      </c>
      <c r="E45" s="26"/>
      <c r="F45" s="26">
        <v>2500</v>
      </c>
    </row>
    <row r="46" spans="2:6" ht="15.75">
      <c r="B46" s="54">
        <v>43301</v>
      </c>
      <c r="C46" s="11">
        <v>1807043</v>
      </c>
      <c r="D46" s="16" t="s">
        <v>377</v>
      </c>
      <c r="E46" s="26"/>
      <c r="F46" s="26">
        <v>44200</v>
      </c>
    </row>
    <row r="47" spans="2:6" ht="15.75">
      <c r="B47" s="54">
        <v>43301</v>
      </c>
      <c r="C47" s="15">
        <v>1807044</v>
      </c>
      <c r="D47" s="16" t="s">
        <v>400</v>
      </c>
      <c r="E47" s="26"/>
      <c r="F47" s="26">
        <v>52095</v>
      </c>
    </row>
    <row r="48" spans="2:6" ht="15.75">
      <c r="B48" s="54">
        <v>43301</v>
      </c>
      <c r="C48" s="11">
        <v>1807045</v>
      </c>
      <c r="D48" s="16" t="s">
        <v>401</v>
      </c>
      <c r="E48" s="26"/>
      <c r="F48" s="26">
        <v>90217</v>
      </c>
    </row>
    <row r="49" spans="2:6" ht="15.75">
      <c r="B49" s="14">
        <v>43301</v>
      </c>
      <c r="C49" s="15">
        <v>1807046</v>
      </c>
      <c r="D49" s="16" t="s">
        <v>402</v>
      </c>
      <c r="E49" s="26"/>
      <c r="F49" s="26">
        <v>95000</v>
      </c>
    </row>
    <row r="50" spans="2:6" ht="15.75">
      <c r="B50" s="14">
        <v>43301</v>
      </c>
      <c r="C50" s="11">
        <v>1807047</v>
      </c>
      <c r="D50" s="16" t="s">
        <v>403</v>
      </c>
      <c r="E50" s="26"/>
      <c r="F50" s="26">
        <v>10000</v>
      </c>
    </row>
    <row r="51" spans="2:6" ht="15.75">
      <c r="B51" s="14">
        <v>43301</v>
      </c>
      <c r="C51" s="15">
        <v>1807048</v>
      </c>
      <c r="D51" s="16" t="s">
        <v>404</v>
      </c>
      <c r="E51" s="26"/>
      <c r="F51" s="26">
        <v>7000</v>
      </c>
    </row>
    <row r="52" spans="2:6" ht="15.75">
      <c r="B52" s="14">
        <v>43301</v>
      </c>
      <c r="C52" s="11">
        <v>1807049</v>
      </c>
      <c r="D52" s="16" t="s">
        <v>405</v>
      </c>
      <c r="E52" s="25"/>
      <c r="F52" s="25">
        <v>20000</v>
      </c>
    </row>
    <row r="53" spans="2:6" ht="15.75">
      <c r="B53" s="14">
        <v>43304</v>
      </c>
      <c r="C53" s="15">
        <v>1807050</v>
      </c>
      <c r="D53" s="16" t="s">
        <v>406</v>
      </c>
      <c r="E53" s="25"/>
      <c r="F53" s="25">
        <v>3000</v>
      </c>
    </row>
    <row r="54" spans="2:6" ht="15.75">
      <c r="B54" s="14">
        <v>43304</v>
      </c>
      <c r="C54" s="11">
        <v>1807051</v>
      </c>
      <c r="D54" s="16" t="s">
        <v>407</v>
      </c>
      <c r="E54" s="25">
        <f>4071+27004</f>
        <v>31075</v>
      </c>
      <c r="F54" s="25"/>
    </row>
    <row r="55" spans="2:6" ht="15.75">
      <c r="B55" s="14">
        <v>43305</v>
      </c>
      <c r="C55" s="15">
        <v>1807052</v>
      </c>
      <c r="D55" s="16" t="s">
        <v>10</v>
      </c>
      <c r="E55" s="25"/>
      <c r="F55" s="25">
        <v>25000</v>
      </c>
    </row>
    <row r="56" spans="2:6" ht="15.75">
      <c r="B56" s="14">
        <v>43305</v>
      </c>
      <c r="C56" s="11">
        <v>1807053</v>
      </c>
      <c r="D56" s="16" t="s">
        <v>408</v>
      </c>
      <c r="E56" s="25"/>
      <c r="F56" s="25">
        <v>30100</v>
      </c>
    </row>
    <row r="57" spans="2:6" ht="15.75">
      <c r="B57" s="14">
        <v>43305</v>
      </c>
      <c r="C57" s="15">
        <v>1807054</v>
      </c>
      <c r="D57" s="16" t="s">
        <v>409</v>
      </c>
      <c r="E57" s="25">
        <f>104978+3304+4413+2655</f>
        <v>115350</v>
      </c>
      <c r="F57" s="25"/>
    </row>
    <row r="58" spans="2:6" ht="15.75">
      <c r="B58" s="14">
        <v>43306</v>
      </c>
      <c r="C58" s="11">
        <v>1807055</v>
      </c>
      <c r="D58" s="16" t="s">
        <v>410</v>
      </c>
      <c r="E58" s="26"/>
      <c r="F58" s="26">
        <v>17989</v>
      </c>
    </row>
    <row r="59" spans="2:6" ht="15.75">
      <c r="B59" s="14">
        <v>43306</v>
      </c>
      <c r="C59" s="15">
        <v>1807056</v>
      </c>
      <c r="D59" s="16" t="s">
        <v>411</v>
      </c>
      <c r="E59" s="26">
        <f>32111+22773+42580</f>
        <v>97464</v>
      </c>
      <c r="F59" s="26"/>
    </row>
    <row r="60" spans="2:6" ht="15.75">
      <c r="B60" s="14">
        <v>43307</v>
      </c>
      <c r="C60" s="11">
        <v>1807057</v>
      </c>
      <c r="D60" s="16" t="s">
        <v>412</v>
      </c>
      <c r="E60" s="25"/>
      <c r="F60" s="25">
        <v>2000</v>
      </c>
    </row>
    <row r="61" spans="2:6" ht="15.75">
      <c r="B61" s="14">
        <v>43307</v>
      </c>
      <c r="C61" s="11">
        <v>1807058</v>
      </c>
      <c r="D61" s="16" t="s">
        <v>413</v>
      </c>
      <c r="E61" s="25">
        <f>10923</f>
        <v>10923</v>
      </c>
      <c r="F61" s="25"/>
    </row>
    <row r="62" spans="2:6" ht="15.75">
      <c r="B62" s="14">
        <v>43308</v>
      </c>
      <c r="C62" s="11">
        <v>1807059</v>
      </c>
      <c r="D62" s="16" t="s">
        <v>414</v>
      </c>
      <c r="E62" s="25"/>
      <c r="F62" s="25">
        <v>5000</v>
      </c>
    </row>
    <row r="63" spans="2:6" ht="15.75">
      <c r="B63" s="14">
        <v>43308</v>
      </c>
      <c r="C63" s="11">
        <v>1807060</v>
      </c>
      <c r="D63" s="16" t="s">
        <v>415</v>
      </c>
      <c r="E63" s="25"/>
      <c r="F63" s="25">
        <v>2500</v>
      </c>
    </row>
    <row r="64" spans="2:6" ht="15.75">
      <c r="B64" s="14">
        <v>43308</v>
      </c>
      <c r="C64" s="11">
        <v>1807061</v>
      </c>
      <c r="D64" s="16" t="s">
        <v>416</v>
      </c>
      <c r="E64" s="25"/>
      <c r="F64" s="25">
        <v>9000</v>
      </c>
    </row>
    <row r="65" spans="2:6" ht="15.75">
      <c r="B65" s="14">
        <v>43311</v>
      </c>
      <c r="C65" s="11">
        <v>1807062</v>
      </c>
      <c r="D65" s="16" t="s">
        <v>417</v>
      </c>
      <c r="E65" s="25"/>
      <c r="F65" s="25">
        <v>100000</v>
      </c>
    </row>
    <row r="66" spans="2:6" ht="15.75">
      <c r="B66" s="14">
        <v>43311</v>
      </c>
      <c r="C66" s="11">
        <v>1807063</v>
      </c>
      <c r="D66" s="16" t="s">
        <v>418</v>
      </c>
      <c r="E66" s="25">
        <f>9629+4248+7647+13316+14644+95686+22417+4984</f>
        <v>172571</v>
      </c>
      <c r="F66" s="25"/>
    </row>
    <row r="67" spans="2:6" ht="15.75">
      <c r="B67" s="14">
        <v>43312</v>
      </c>
      <c r="C67" s="11">
        <v>1807064</v>
      </c>
      <c r="D67" s="16" t="s">
        <v>417</v>
      </c>
      <c r="E67" s="25"/>
      <c r="F67" s="25">
        <v>86301</v>
      </c>
    </row>
    <row r="68" spans="2:6" ht="15.75">
      <c r="B68" s="14">
        <v>43312</v>
      </c>
      <c r="C68" s="15">
        <v>1807065</v>
      </c>
      <c r="D68" s="12" t="s">
        <v>419</v>
      </c>
      <c r="E68" s="25">
        <f>14260+76682+16318+51406</f>
        <v>158666</v>
      </c>
      <c r="F68" s="25"/>
    </row>
    <row r="69" spans="2:6">
      <c r="E69" s="56">
        <f>SUM(E3:E68)</f>
        <v>6830382</v>
      </c>
      <c r="F69" s="56">
        <f>SUM(F3:F68)</f>
        <v>5871351</v>
      </c>
    </row>
    <row r="71" spans="2:6">
      <c r="E71" s="21" t="s">
        <v>6</v>
      </c>
      <c r="F71" s="17">
        <f>E69-F69</f>
        <v>959031</v>
      </c>
    </row>
  </sheetData>
  <printOptions horizont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F74"/>
  <sheetViews>
    <sheetView workbookViewId="0">
      <selection activeCell="F74" sqref="B2:F74"/>
    </sheetView>
  </sheetViews>
  <sheetFormatPr baseColWidth="10" defaultRowHeight="15"/>
  <cols>
    <col min="2" max="2" width="12.42578125" customWidth="1"/>
    <col min="3" max="3" width="14.85546875" customWidth="1"/>
    <col min="4" max="4" width="56.85546875" bestFit="1" customWidth="1"/>
    <col min="5" max="6" width="14.140625" bestFit="1" customWidth="1"/>
    <col min="8" max="8" width="7.42578125" bestFit="1" customWidth="1"/>
    <col min="9" max="9" width="23.5703125" bestFit="1" customWidth="1"/>
    <col min="10" max="10" width="12.710937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43313</v>
      </c>
      <c r="C3" s="22"/>
      <c r="D3" s="8" t="s">
        <v>420</v>
      </c>
      <c r="E3" s="24">
        <f>'JUILLET 2018'!F71</f>
        <v>959031</v>
      </c>
      <c r="F3" s="24"/>
    </row>
    <row r="4" spans="2:6" ht="15.75">
      <c r="B4" s="54">
        <v>43313</v>
      </c>
      <c r="C4" s="15">
        <v>1808001</v>
      </c>
      <c r="D4" s="39" t="s">
        <v>466</v>
      </c>
      <c r="E4" s="39"/>
      <c r="F4" s="55">
        <v>100000</v>
      </c>
    </row>
    <row r="5" spans="2:6" ht="15.75">
      <c r="B5" s="54">
        <v>43313</v>
      </c>
      <c r="C5" s="15">
        <v>1808002</v>
      </c>
      <c r="D5" s="39" t="s">
        <v>432</v>
      </c>
      <c r="E5" s="24">
        <f>66062+83361+40503</f>
        <v>189926</v>
      </c>
      <c r="F5" s="39"/>
    </row>
    <row r="6" spans="2:6" ht="15.75">
      <c r="B6" s="54">
        <v>43314</v>
      </c>
      <c r="C6" s="15">
        <v>1808003</v>
      </c>
      <c r="D6" s="16" t="s">
        <v>100</v>
      </c>
      <c r="E6" s="24"/>
      <c r="F6" s="55">
        <v>110000</v>
      </c>
    </row>
    <row r="7" spans="2:6" ht="15.75">
      <c r="B7" s="54">
        <v>43314</v>
      </c>
      <c r="C7" s="15">
        <v>1808004</v>
      </c>
      <c r="D7" s="39" t="s">
        <v>433</v>
      </c>
      <c r="E7" s="24"/>
      <c r="F7" s="55">
        <v>37760</v>
      </c>
    </row>
    <row r="8" spans="2:6" ht="15.75">
      <c r="B8" s="54">
        <v>43314</v>
      </c>
      <c r="C8" s="15">
        <v>1808005</v>
      </c>
      <c r="D8" s="39" t="s">
        <v>434</v>
      </c>
      <c r="E8" s="24"/>
      <c r="F8" s="55">
        <v>30000</v>
      </c>
    </row>
    <row r="9" spans="2:6" ht="15.75">
      <c r="B9" s="54">
        <v>43314</v>
      </c>
      <c r="C9" s="15">
        <v>1808006</v>
      </c>
      <c r="D9" s="39" t="s">
        <v>258</v>
      </c>
      <c r="E9" s="24"/>
      <c r="F9" s="55">
        <v>5000</v>
      </c>
    </row>
    <row r="10" spans="2:6" ht="15.75">
      <c r="B10" s="54">
        <v>43314</v>
      </c>
      <c r="C10" s="15">
        <v>1808007</v>
      </c>
      <c r="D10" s="39" t="s">
        <v>435</v>
      </c>
      <c r="E10" s="24"/>
      <c r="F10" s="55">
        <v>60000</v>
      </c>
    </row>
    <row r="11" spans="2:6" ht="15.75">
      <c r="B11" s="54">
        <v>43314</v>
      </c>
      <c r="C11" s="15">
        <v>1808008</v>
      </c>
      <c r="D11" s="39" t="s">
        <v>436</v>
      </c>
      <c r="E11" s="24">
        <f>3363+2336+1982+105828+11900</f>
        <v>125409</v>
      </c>
      <c r="F11" s="55"/>
    </row>
    <row r="12" spans="2:6" ht="15.75">
      <c r="B12" s="54">
        <v>43320</v>
      </c>
      <c r="C12" s="15">
        <v>1808009</v>
      </c>
      <c r="D12" s="39" t="s">
        <v>437</v>
      </c>
      <c r="E12" s="24"/>
      <c r="F12" s="55">
        <v>10500</v>
      </c>
    </row>
    <row r="13" spans="2:6" ht="15.75">
      <c r="B13" s="54">
        <v>43320</v>
      </c>
      <c r="C13" s="15">
        <v>1808010</v>
      </c>
      <c r="D13" s="39" t="s">
        <v>438</v>
      </c>
      <c r="E13" s="24"/>
      <c r="F13" s="55">
        <v>2500</v>
      </c>
    </row>
    <row r="14" spans="2:6" ht="15.75">
      <c r="B14" s="54">
        <v>43320</v>
      </c>
      <c r="C14" s="15">
        <v>1808011</v>
      </c>
      <c r="D14" s="16" t="s">
        <v>467</v>
      </c>
      <c r="E14" s="24"/>
      <c r="F14" s="55">
        <v>30100</v>
      </c>
    </row>
    <row r="15" spans="2:6" ht="15.75">
      <c r="B15" s="54">
        <v>43320</v>
      </c>
      <c r="C15" s="15">
        <v>1808012</v>
      </c>
      <c r="D15" s="39" t="s">
        <v>433</v>
      </c>
      <c r="E15" s="24"/>
      <c r="F15" s="55">
        <v>75520</v>
      </c>
    </row>
    <row r="16" spans="2:6" ht="15.75">
      <c r="B16" s="54">
        <v>43320</v>
      </c>
      <c r="C16" s="15">
        <v>1808013</v>
      </c>
      <c r="D16" s="39" t="s">
        <v>402</v>
      </c>
      <c r="E16" s="24"/>
      <c r="F16" s="55">
        <v>8000</v>
      </c>
    </row>
    <row r="17" spans="2:6" ht="15.75">
      <c r="B17" s="54">
        <v>43320</v>
      </c>
      <c r="C17" s="15">
        <v>1808014</v>
      </c>
      <c r="D17" s="39" t="s">
        <v>439</v>
      </c>
      <c r="E17" s="24"/>
      <c r="F17" s="55">
        <v>5000</v>
      </c>
    </row>
    <row r="18" spans="2:6" ht="15.75">
      <c r="B18" s="54">
        <v>43321</v>
      </c>
      <c r="C18" s="15">
        <v>1808015</v>
      </c>
      <c r="D18" s="12" t="s">
        <v>439</v>
      </c>
      <c r="E18" s="24"/>
      <c r="F18" s="55">
        <v>5000</v>
      </c>
    </row>
    <row r="19" spans="2:6" ht="15.75">
      <c r="B19" s="54">
        <v>43321</v>
      </c>
      <c r="C19" s="15">
        <v>1808016</v>
      </c>
      <c r="D19" s="39" t="s">
        <v>345</v>
      </c>
      <c r="E19" s="24"/>
      <c r="F19" s="55">
        <v>6000</v>
      </c>
    </row>
    <row r="20" spans="2:6" s="32" customFormat="1" ht="15.75">
      <c r="B20" s="54">
        <v>43321</v>
      </c>
      <c r="C20" s="15">
        <v>1808017</v>
      </c>
      <c r="D20" s="39" t="s">
        <v>440</v>
      </c>
      <c r="E20" s="24"/>
      <c r="F20" s="55">
        <v>30000</v>
      </c>
    </row>
    <row r="21" spans="2:6" ht="15.75">
      <c r="B21" s="54">
        <v>43321</v>
      </c>
      <c r="C21" s="15">
        <v>1808018</v>
      </c>
      <c r="D21" s="39" t="s">
        <v>441</v>
      </c>
      <c r="E21" s="24">
        <f>6330+11900+53259+28798</f>
        <v>100287</v>
      </c>
      <c r="F21" s="55"/>
    </row>
    <row r="22" spans="2:6" ht="15.75">
      <c r="B22" s="52">
        <v>43322</v>
      </c>
      <c r="C22" s="15">
        <v>1808019</v>
      </c>
      <c r="D22" s="37" t="s">
        <v>386</v>
      </c>
      <c r="E22" s="24"/>
      <c r="F22" s="57">
        <v>15000</v>
      </c>
    </row>
    <row r="23" spans="2:6" ht="15.75">
      <c r="B23" s="54">
        <v>43322</v>
      </c>
      <c r="C23" s="15">
        <v>1808020</v>
      </c>
      <c r="D23" s="16" t="s">
        <v>442</v>
      </c>
      <c r="E23" s="24"/>
      <c r="F23" s="58">
        <v>7000</v>
      </c>
    </row>
    <row r="24" spans="2:6" ht="15.75">
      <c r="B24" s="54">
        <v>43325</v>
      </c>
      <c r="C24" s="15">
        <v>1808021</v>
      </c>
      <c r="D24" s="16" t="s">
        <v>443</v>
      </c>
      <c r="E24" s="24"/>
      <c r="F24" s="26">
        <v>20000</v>
      </c>
    </row>
    <row r="25" spans="2:6" ht="15.75">
      <c r="B25" s="54">
        <v>43325</v>
      </c>
      <c r="C25" s="15">
        <v>1808022</v>
      </c>
      <c r="D25" s="12" t="s">
        <v>83</v>
      </c>
      <c r="E25" s="24"/>
      <c r="F25" s="26">
        <v>500</v>
      </c>
    </row>
    <row r="26" spans="2:6" ht="15.75">
      <c r="B26" s="54">
        <v>43325</v>
      </c>
      <c r="C26" s="15">
        <v>1808023</v>
      </c>
      <c r="D26" s="12" t="s">
        <v>444</v>
      </c>
      <c r="E26" s="24">
        <f>8464+56067+70311+3776+45695+9829+5298</f>
        <v>199440</v>
      </c>
      <c r="F26" s="26"/>
    </row>
    <row r="27" spans="2:6" ht="15.75">
      <c r="B27" s="54">
        <v>43326</v>
      </c>
      <c r="C27" s="15">
        <v>1808024</v>
      </c>
      <c r="D27" s="12" t="s">
        <v>405</v>
      </c>
      <c r="E27" s="24"/>
      <c r="F27" s="26">
        <v>65000</v>
      </c>
    </row>
    <row r="28" spans="2:6" ht="15.75">
      <c r="B28" s="54">
        <v>43326</v>
      </c>
      <c r="C28" s="15">
        <v>1808025</v>
      </c>
      <c r="D28" s="16" t="s">
        <v>445</v>
      </c>
      <c r="E28" s="24">
        <f>23169+6590+63820+4714+37697+6118+5475</f>
        <v>147583</v>
      </c>
      <c r="F28" s="24"/>
    </row>
    <row r="29" spans="2:6" ht="15.75">
      <c r="B29" s="54">
        <v>43326</v>
      </c>
      <c r="C29" s="15">
        <v>1808026</v>
      </c>
      <c r="D29" s="12" t="s">
        <v>446</v>
      </c>
      <c r="E29" s="24">
        <f>6708+12787+1888</f>
        <v>21383</v>
      </c>
      <c r="F29" s="26"/>
    </row>
    <row r="30" spans="2:6" ht="15.75">
      <c r="B30" s="54">
        <v>43329</v>
      </c>
      <c r="C30" s="15">
        <v>1808027</v>
      </c>
      <c r="D30" s="12" t="s">
        <v>447</v>
      </c>
      <c r="E30" s="24">
        <v>6600</v>
      </c>
      <c r="F30" s="26"/>
    </row>
    <row r="31" spans="2:6" ht="15.75">
      <c r="B31" s="54">
        <v>43329</v>
      </c>
      <c r="C31" s="15">
        <v>1808028</v>
      </c>
      <c r="D31" s="12" t="s">
        <v>448</v>
      </c>
      <c r="E31" s="24">
        <f>7943+6614+4196+36425+20868+4248+26800</f>
        <v>107094</v>
      </c>
      <c r="F31" s="26"/>
    </row>
    <row r="32" spans="2:6" ht="15.75">
      <c r="B32" s="54">
        <v>43330</v>
      </c>
      <c r="C32" s="15">
        <v>1808029</v>
      </c>
      <c r="D32" s="16" t="s">
        <v>412</v>
      </c>
      <c r="E32" s="24"/>
      <c r="F32" s="26">
        <v>2000</v>
      </c>
    </row>
    <row r="33" spans="2:6" ht="15.75">
      <c r="B33" s="54">
        <v>43332</v>
      </c>
      <c r="C33" s="15">
        <v>1808030</v>
      </c>
      <c r="D33" s="12" t="s">
        <v>449</v>
      </c>
      <c r="E33" s="24"/>
      <c r="F33" s="26">
        <v>16500</v>
      </c>
    </row>
    <row r="34" spans="2:6" ht="15.75">
      <c r="B34" s="54">
        <v>43332</v>
      </c>
      <c r="C34" s="34">
        <v>1808031</v>
      </c>
      <c r="D34" s="12" t="s">
        <v>450</v>
      </c>
      <c r="E34" s="24"/>
      <c r="F34" s="26">
        <v>35000</v>
      </c>
    </row>
    <row r="35" spans="2:6" ht="15.75">
      <c r="B35" s="54">
        <v>43332</v>
      </c>
      <c r="C35" s="36">
        <v>1808032</v>
      </c>
      <c r="D35" s="28" t="s">
        <v>386</v>
      </c>
      <c r="E35" s="24"/>
      <c r="F35" s="29">
        <v>5000</v>
      </c>
    </row>
    <row r="36" spans="2:6" ht="15.75">
      <c r="B36" s="54">
        <v>43332</v>
      </c>
      <c r="C36" s="36">
        <v>1808033</v>
      </c>
      <c r="D36" s="12" t="s">
        <v>451</v>
      </c>
      <c r="E36" s="24">
        <f>19933+17564+4682+28420</f>
        <v>70599</v>
      </c>
      <c r="F36" s="26"/>
    </row>
    <row r="37" spans="2:6" ht="15.75">
      <c r="B37" s="54">
        <v>43334</v>
      </c>
      <c r="C37" s="34">
        <v>1808034</v>
      </c>
      <c r="D37" s="16" t="s">
        <v>408</v>
      </c>
      <c r="E37" s="24"/>
      <c r="F37" s="26">
        <v>30100</v>
      </c>
    </row>
    <row r="38" spans="2:6" ht="15.75">
      <c r="B38" s="54">
        <v>43334</v>
      </c>
      <c r="C38" s="36">
        <v>1808035</v>
      </c>
      <c r="D38" s="16" t="s">
        <v>452</v>
      </c>
      <c r="E38" s="24">
        <f>38757+4968+10012+3511+13222</f>
        <v>70470</v>
      </c>
      <c r="F38" s="26"/>
    </row>
    <row r="39" spans="2:6" ht="15.75">
      <c r="B39" s="54">
        <v>43335</v>
      </c>
      <c r="C39" s="34">
        <v>1808036</v>
      </c>
      <c r="D39" s="16" t="s">
        <v>453</v>
      </c>
      <c r="E39" s="24"/>
      <c r="F39" s="26">
        <v>500000</v>
      </c>
    </row>
    <row r="40" spans="2:6" ht="15.75">
      <c r="B40" s="54">
        <v>43336</v>
      </c>
      <c r="C40" s="36">
        <v>1808037</v>
      </c>
      <c r="D40" s="16" t="s">
        <v>468</v>
      </c>
      <c r="E40" s="24"/>
      <c r="F40" s="26">
        <v>60100</v>
      </c>
    </row>
    <row r="41" spans="2:6" ht="15.75">
      <c r="B41" s="14">
        <v>43336</v>
      </c>
      <c r="C41" s="34">
        <v>1808038</v>
      </c>
      <c r="D41" s="16" t="s">
        <v>250</v>
      </c>
      <c r="E41" s="24"/>
      <c r="F41" s="26">
        <v>14600</v>
      </c>
    </row>
    <row r="42" spans="2:6" ht="15" customHeight="1">
      <c r="B42" s="14">
        <v>43336</v>
      </c>
      <c r="C42" s="36">
        <v>1808039</v>
      </c>
      <c r="D42" s="16" t="s">
        <v>345</v>
      </c>
      <c r="E42" s="24"/>
      <c r="F42" s="26">
        <v>4000</v>
      </c>
    </row>
    <row r="43" spans="2:6" ht="15.75">
      <c r="B43" s="14">
        <v>43336</v>
      </c>
      <c r="C43" s="34">
        <v>1808040</v>
      </c>
      <c r="D43" s="16" t="s">
        <v>454</v>
      </c>
      <c r="E43" s="24"/>
      <c r="F43" s="26">
        <v>4000</v>
      </c>
    </row>
    <row r="44" spans="2:6" ht="15.75">
      <c r="B44" s="14">
        <v>43336</v>
      </c>
      <c r="C44" s="36">
        <v>1808041</v>
      </c>
      <c r="D44" s="16" t="s">
        <v>455</v>
      </c>
      <c r="E44" s="24">
        <f>7474+79728+87086+48846+51253+10130+5381+21504</f>
        <v>311402</v>
      </c>
      <c r="F44" s="25"/>
    </row>
    <row r="45" spans="2:6" ht="15.75">
      <c r="B45" s="14">
        <v>43336</v>
      </c>
      <c r="C45" s="34">
        <v>1808042</v>
      </c>
      <c r="D45" s="16" t="s">
        <v>456</v>
      </c>
      <c r="E45" s="24" t="s">
        <v>457</v>
      </c>
      <c r="F45" s="25">
        <v>9000</v>
      </c>
    </row>
    <row r="46" spans="2:6" ht="15.75">
      <c r="B46" s="14">
        <v>43337</v>
      </c>
      <c r="C46" s="36">
        <v>1808043</v>
      </c>
      <c r="D46" s="16" t="s">
        <v>412</v>
      </c>
      <c r="E46" s="24"/>
      <c r="F46" s="25">
        <v>2000</v>
      </c>
    </row>
    <row r="47" spans="2:6" ht="15.75">
      <c r="B47" s="14">
        <v>43339</v>
      </c>
      <c r="C47" s="34">
        <v>1808044</v>
      </c>
      <c r="D47" s="16" t="s">
        <v>458</v>
      </c>
      <c r="E47" s="24"/>
      <c r="F47" s="25">
        <v>165000</v>
      </c>
    </row>
    <row r="48" spans="2:6" ht="15.75">
      <c r="B48" s="14">
        <v>43340</v>
      </c>
      <c r="C48" s="36">
        <v>1808045</v>
      </c>
      <c r="D48" s="16" t="s">
        <v>258</v>
      </c>
      <c r="E48" s="24"/>
      <c r="F48" s="25">
        <v>3000</v>
      </c>
    </row>
    <row r="49" spans="2:6" ht="15.75">
      <c r="B49" s="14">
        <v>43341</v>
      </c>
      <c r="C49" s="15">
        <v>1808046</v>
      </c>
      <c r="D49" s="16" t="s">
        <v>459</v>
      </c>
      <c r="E49" s="24">
        <f>2950+10224+22066+12839+12466+4720+2419</f>
        <v>67684</v>
      </c>
      <c r="F49" s="25"/>
    </row>
    <row r="50" spans="2:6" ht="15.75">
      <c r="B50" s="14">
        <v>43342</v>
      </c>
      <c r="C50" s="11">
        <v>1808047</v>
      </c>
      <c r="D50" s="16" t="s">
        <v>460</v>
      </c>
      <c r="E50" s="24"/>
      <c r="F50" s="26">
        <v>20000</v>
      </c>
    </row>
    <row r="51" spans="2:6" ht="15.75">
      <c r="B51" s="14">
        <v>43342</v>
      </c>
      <c r="C51" s="15">
        <v>1808048</v>
      </c>
      <c r="D51" s="16" t="s">
        <v>461</v>
      </c>
      <c r="E51" s="24">
        <f>36208+5723+2950+3304+10130</f>
        <v>58315</v>
      </c>
      <c r="F51" s="26"/>
    </row>
    <row r="52" spans="2:6" ht="15.75">
      <c r="B52" s="14">
        <v>43343</v>
      </c>
      <c r="C52" s="11">
        <v>1808049</v>
      </c>
      <c r="D52" s="16" t="s">
        <v>434</v>
      </c>
      <c r="E52" s="24"/>
      <c r="F52" s="25">
        <v>15000</v>
      </c>
    </row>
    <row r="53" spans="2:6" ht="15.75">
      <c r="B53" s="14">
        <v>43343</v>
      </c>
      <c r="C53" s="11">
        <v>1808050</v>
      </c>
      <c r="D53" s="16" t="s">
        <v>462</v>
      </c>
      <c r="E53" s="24"/>
      <c r="F53" s="25">
        <v>181646</v>
      </c>
    </row>
    <row r="54" spans="2:6" ht="15.75">
      <c r="B54" s="14">
        <v>43343</v>
      </c>
      <c r="C54" s="11">
        <v>1808051</v>
      </c>
      <c r="D54" s="16" t="s">
        <v>463</v>
      </c>
      <c r="E54" s="24"/>
      <c r="F54" s="25">
        <v>80000</v>
      </c>
    </row>
    <row r="55" spans="2:6" ht="15.75">
      <c r="B55" s="14">
        <v>43343</v>
      </c>
      <c r="C55" s="11">
        <v>1808052</v>
      </c>
      <c r="D55" s="16" t="s">
        <v>464</v>
      </c>
      <c r="E55" s="24">
        <f>72442+4130</f>
        <v>76572</v>
      </c>
      <c r="F55" s="25"/>
    </row>
    <row r="56" spans="2:6" ht="15.75">
      <c r="B56" s="14">
        <v>43343</v>
      </c>
      <c r="C56" s="11">
        <v>1808053</v>
      </c>
      <c r="D56" s="16" t="s">
        <v>465</v>
      </c>
      <c r="E56" s="24"/>
      <c r="F56" s="25">
        <v>13000</v>
      </c>
    </row>
    <row r="57" spans="2:6" ht="15.75">
      <c r="B57" s="14">
        <v>43343</v>
      </c>
      <c r="C57" s="11">
        <v>1808054</v>
      </c>
      <c r="D57" s="12" t="s">
        <v>171</v>
      </c>
      <c r="E57" s="26"/>
      <c r="F57" s="26">
        <v>80000</v>
      </c>
    </row>
    <row r="58" spans="2:6" ht="15.75">
      <c r="B58" s="14">
        <v>43343</v>
      </c>
      <c r="C58" s="11">
        <v>1808055</v>
      </c>
      <c r="D58" s="16" t="s">
        <v>421</v>
      </c>
      <c r="E58" s="26">
        <v>100000</v>
      </c>
      <c r="F58" s="26"/>
    </row>
    <row r="59" spans="2:6" ht="15.75">
      <c r="B59" s="14">
        <v>43343</v>
      </c>
      <c r="C59" s="11">
        <v>1808056</v>
      </c>
      <c r="D59" s="12" t="s">
        <v>422</v>
      </c>
      <c r="E59" s="26"/>
      <c r="F59" s="26">
        <v>102900</v>
      </c>
    </row>
    <row r="60" spans="2:6" ht="15.75">
      <c r="B60" s="14">
        <v>43343</v>
      </c>
      <c r="C60" s="11">
        <v>1808057</v>
      </c>
      <c r="D60" s="12" t="s">
        <v>423</v>
      </c>
      <c r="E60" s="26"/>
      <c r="F60" s="26">
        <v>22599</v>
      </c>
    </row>
    <row r="61" spans="2:6" ht="15.75">
      <c r="B61" s="14">
        <v>43343</v>
      </c>
      <c r="C61" s="11">
        <v>1808058</v>
      </c>
      <c r="D61" s="12" t="s">
        <v>424</v>
      </c>
      <c r="E61" s="26"/>
      <c r="F61" s="26">
        <v>100000</v>
      </c>
    </row>
    <row r="62" spans="2:6" ht="15.75">
      <c r="B62" s="14">
        <v>43343</v>
      </c>
      <c r="C62" s="11">
        <v>1808059</v>
      </c>
      <c r="D62" s="12" t="s">
        <v>5</v>
      </c>
      <c r="E62" s="26"/>
      <c r="F62" s="26">
        <v>13200</v>
      </c>
    </row>
    <row r="63" spans="2:6" ht="15.75">
      <c r="B63" s="14">
        <v>43343</v>
      </c>
      <c r="C63" s="11">
        <v>1808060</v>
      </c>
      <c r="D63" s="12" t="s">
        <v>425</v>
      </c>
      <c r="E63" s="26"/>
      <c r="F63" s="26">
        <v>20000</v>
      </c>
    </row>
    <row r="64" spans="2:6" ht="15.75">
      <c r="B64" s="14">
        <v>43343</v>
      </c>
      <c r="C64" s="11">
        <v>1808061</v>
      </c>
      <c r="D64" s="12" t="s">
        <v>426</v>
      </c>
      <c r="E64" s="26"/>
      <c r="F64" s="26">
        <v>500</v>
      </c>
    </row>
    <row r="65" spans="2:6" ht="15.75">
      <c r="B65" s="14">
        <v>43343</v>
      </c>
      <c r="C65" s="11">
        <v>1808062</v>
      </c>
      <c r="D65" s="16" t="s">
        <v>427</v>
      </c>
      <c r="E65" s="26"/>
      <c r="F65" s="26">
        <v>2500</v>
      </c>
    </row>
    <row r="66" spans="2:6" ht="15.75">
      <c r="B66" s="14">
        <v>43343</v>
      </c>
      <c r="C66" s="11">
        <v>1808063</v>
      </c>
      <c r="D66" s="16" t="s">
        <v>5</v>
      </c>
      <c r="E66" s="26"/>
      <c r="F66" s="26">
        <v>16200</v>
      </c>
    </row>
    <row r="67" spans="2:6" ht="15.75">
      <c r="B67" s="14">
        <v>43343</v>
      </c>
      <c r="C67" s="11">
        <v>1808064</v>
      </c>
      <c r="D67" s="16" t="s">
        <v>428</v>
      </c>
      <c r="E67" s="26"/>
      <c r="F67" s="26">
        <v>40000</v>
      </c>
    </row>
    <row r="68" spans="2:6" ht="15.75">
      <c r="B68" s="14">
        <v>43343</v>
      </c>
      <c r="C68" s="11">
        <v>1808065</v>
      </c>
      <c r="D68" s="16" t="s">
        <v>429</v>
      </c>
      <c r="E68" s="26"/>
      <c r="F68" s="26">
        <v>27500</v>
      </c>
    </row>
    <row r="69" spans="2:6" ht="15.75">
      <c r="B69" s="14">
        <v>43343</v>
      </c>
      <c r="C69" s="11">
        <v>1808066</v>
      </c>
      <c r="D69" s="12" t="s">
        <v>5</v>
      </c>
      <c r="E69" s="26"/>
      <c r="F69" s="26">
        <v>10000</v>
      </c>
    </row>
    <row r="70" spans="2:6" ht="15.75">
      <c r="B70" s="14">
        <v>43343</v>
      </c>
      <c r="C70" s="11">
        <v>1808067</v>
      </c>
      <c r="D70" s="12" t="s">
        <v>430</v>
      </c>
      <c r="E70" s="26"/>
      <c r="F70" s="26">
        <v>24664</v>
      </c>
    </row>
    <row r="71" spans="2:6" ht="15.75">
      <c r="B71" s="14">
        <v>43343</v>
      </c>
      <c r="C71" s="11">
        <v>1808068</v>
      </c>
      <c r="D71" s="12" t="s">
        <v>469</v>
      </c>
      <c r="E71" s="25"/>
      <c r="F71" s="25">
        <v>4248</v>
      </c>
    </row>
    <row r="72" spans="2:6" ht="15.75">
      <c r="B72" s="18"/>
      <c r="C72" s="19"/>
      <c r="D72" s="20"/>
      <c r="E72" s="25">
        <f>SUM(E3:E71)</f>
        <v>2611795</v>
      </c>
      <c r="F72" s="25">
        <f>SUM(F3:F71)</f>
        <v>2247137</v>
      </c>
    </row>
    <row r="73" spans="2:6">
      <c r="B73" s="5"/>
      <c r="C73" s="27"/>
    </row>
    <row r="74" spans="2:6">
      <c r="B74" s="5"/>
      <c r="C74" s="27"/>
      <c r="E74" s="21" t="s">
        <v>6</v>
      </c>
      <c r="F74" s="17">
        <f>E72-F72</f>
        <v>364658</v>
      </c>
    </row>
  </sheetData>
  <printOptions horizontalCentered="1" verticalCentered="1"/>
  <pageMargins left="0" right="0" top="0" bottom="0" header="0" footer="0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F70"/>
  <sheetViews>
    <sheetView workbookViewId="0">
      <selection activeCell="F70" sqref="B2:F70"/>
    </sheetView>
  </sheetViews>
  <sheetFormatPr baseColWidth="10" defaultRowHeight="15"/>
  <cols>
    <col min="2" max="2" width="9.5703125" customWidth="1"/>
    <col min="3" max="3" width="10.5703125" customWidth="1"/>
    <col min="4" max="4" width="49.28515625" bestFit="1" customWidth="1"/>
    <col min="5" max="5" width="15.140625" bestFit="1" customWidth="1"/>
    <col min="6" max="6" width="14.140625" bestFit="1" customWidth="1"/>
    <col min="9" max="9" width="23.5703125" bestFit="1" customWidth="1"/>
    <col min="10" max="10" width="12.7109375" bestFit="1" customWidth="1"/>
  </cols>
  <sheetData>
    <row r="2" spans="2:6">
      <c r="B2" s="2" t="s">
        <v>0</v>
      </c>
      <c r="C2" s="23" t="s">
        <v>1</v>
      </c>
      <c r="D2" s="2" t="s">
        <v>2</v>
      </c>
      <c r="E2" s="4" t="s">
        <v>3</v>
      </c>
      <c r="F2" s="4" t="s">
        <v>4</v>
      </c>
    </row>
    <row r="3" spans="2:6">
      <c r="B3" s="6">
        <v>43344</v>
      </c>
      <c r="C3" s="22"/>
      <c r="D3" s="8" t="s">
        <v>431</v>
      </c>
      <c r="E3" s="26">
        <f>'AOÛT 2018'!F74</f>
        <v>364658</v>
      </c>
      <c r="F3" s="24"/>
    </row>
    <row r="4" spans="2:6" ht="15.75">
      <c r="B4" s="10">
        <v>43344</v>
      </c>
      <c r="C4" s="11">
        <v>1809001</v>
      </c>
      <c r="D4" s="12" t="s">
        <v>470</v>
      </c>
      <c r="E4" s="26">
        <f>7770+32904</f>
        <v>40674</v>
      </c>
      <c r="F4" s="25"/>
    </row>
    <row r="5" spans="2:6" ht="15.75">
      <c r="B5" s="14">
        <v>43346</v>
      </c>
      <c r="C5" s="15">
        <v>1809002</v>
      </c>
      <c r="D5" s="12" t="s">
        <v>471</v>
      </c>
      <c r="E5" s="26"/>
      <c r="F5" s="26">
        <v>31000</v>
      </c>
    </row>
    <row r="6" spans="2:6" ht="15.75">
      <c r="B6" s="14">
        <v>43346</v>
      </c>
      <c r="C6" s="11">
        <v>1809003</v>
      </c>
      <c r="D6" s="12" t="s">
        <v>13</v>
      </c>
      <c r="E6" s="26"/>
      <c r="F6" s="26">
        <v>77500</v>
      </c>
    </row>
    <row r="7" spans="2:6" ht="15.75">
      <c r="B7" s="14">
        <v>43346</v>
      </c>
      <c r="C7" s="15">
        <v>1809004</v>
      </c>
      <c r="D7" s="16" t="s">
        <v>472</v>
      </c>
      <c r="E7" s="26"/>
      <c r="F7" s="26">
        <v>5000</v>
      </c>
    </row>
    <row r="8" spans="2:6" ht="15.75">
      <c r="B8" s="14">
        <v>43346</v>
      </c>
      <c r="C8" s="11">
        <v>1809005</v>
      </c>
      <c r="D8" s="12" t="s">
        <v>473</v>
      </c>
      <c r="E8" s="26">
        <f>2709+14331+11310</f>
        <v>28350</v>
      </c>
      <c r="F8" s="26"/>
    </row>
    <row r="9" spans="2:6" ht="15.75">
      <c r="B9" s="54">
        <v>43347</v>
      </c>
      <c r="C9" s="15">
        <v>1809006</v>
      </c>
      <c r="D9" s="39" t="s">
        <v>83</v>
      </c>
      <c r="E9" s="26"/>
      <c r="F9" s="26">
        <v>500</v>
      </c>
    </row>
    <row r="10" spans="2:6" ht="15.75">
      <c r="B10" s="54">
        <v>43347</v>
      </c>
      <c r="C10" s="15">
        <v>1809007</v>
      </c>
      <c r="D10" s="39" t="s">
        <v>474</v>
      </c>
      <c r="E10" s="26"/>
      <c r="F10" s="26">
        <v>50000</v>
      </c>
    </row>
    <row r="11" spans="2:6" ht="15.75">
      <c r="B11" s="54">
        <v>43347</v>
      </c>
      <c r="C11" s="15">
        <v>1809008</v>
      </c>
      <c r="D11" s="12" t="s">
        <v>475</v>
      </c>
      <c r="E11" s="26">
        <f>33999+30190</f>
        <v>64189</v>
      </c>
      <c r="F11" s="26"/>
    </row>
    <row r="12" spans="2:6" ht="15.75">
      <c r="B12" s="54">
        <v>43348</v>
      </c>
      <c r="C12" s="15">
        <v>1809009</v>
      </c>
      <c r="D12" s="16" t="s">
        <v>476</v>
      </c>
      <c r="E12" s="26">
        <f>9540+7770</f>
        <v>17310</v>
      </c>
      <c r="F12" s="26"/>
    </row>
    <row r="13" spans="2:6" ht="15.75">
      <c r="B13" s="54">
        <v>43349</v>
      </c>
      <c r="C13" s="15">
        <v>1809010</v>
      </c>
      <c r="D13" s="39" t="s">
        <v>477</v>
      </c>
      <c r="E13" s="26"/>
      <c r="F13" s="26">
        <v>47500</v>
      </c>
    </row>
    <row r="14" spans="2:6" ht="15.75">
      <c r="B14" s="54">
        <v>43349</v>
      </c>
      <c r="C14" s="15">
        <v>1809011</v>
      </c>
      <c r="D14" s="39" t="s">
        <v>478</v>
      </c>
      <c r="E14" s="26">
        <v>84286</v>
      </c>
      <c r="F14" s="26"/>
    </row>
    <row r="15" spans="2:6" ht="15.75">
      <c r="B15" s="54">
        <v>43349</v>
      </c>
      <c r="C15" s="15">
        <v>1809012</v>
      </c>
      <c r="D15" s="39" t="s">
        <v>479</v>
      </c>
      <c r="E15" s="26">
        <f>4130+18508+101102</f>
        <v>123740</v>
      </c>
      <c r="F15" s="26"/>
    </row>
    <row r="16" spans="2:6" ht="15.75">
      <c r="B16" s="54">
        <v>43350</v>
      </c>
      <c r="C16" s="15">
        <v>1809013</v>
      </c>
      <c r="D16" s="39" t="s">
        <v>258</v>
      </c>
      <c r="E16" s="26"/>
      <c r="F16" s="26">
        <v>3000</v>
      </c>
    </row>
    <row r="17" spans="2:6" ht="15.75">
      <c r="B17" s="54">
        <v>43350</v>
      </c>
      <c r="C17" s="15">
        <v>1809014</v>
      </c>
      <c r="D17" s="39" t="s">
        <v>480</v>
      </c>
      <c r="E17" s="26"/>
      <c r="F17" s="26">
        <v>160000</v>
      </c>
    </row>
    <row r="18" spans="2:6" ht="15.75">
      <c r="B18" s="54">
        <v>43350</v>
      </c>
      <c r="C18" s="15">
        <v>1809015</v>
      </c>
      <c r="D18" s="39" t="s">
        <v>481</v>
      </c>
      <c r="E18" s="26"/>
      <c r="F18" s="26">
        <v>14000</v>
      </c>
    </row>
    <row r="19" spans="2:6" ht="15.75">
      <c r="B19" s="54">
        <v>43353</v>
      </c>
      <c r="C19" s="15">
        <v>1809016</v>
      </c>
      <c r="D19" s="39" t="s">
        <v>482</v>
      </c>
      <c r="E19" s="26"/>
      <c r="F19" s="26">
        <v>100000</v>
      </c>
    </row>
    <row r="20" spans="2:6" ht="15.75">
      <c r="B20" s="54">
        <v>43353</v>
      </c>
      <c r="C20" s="15">
        <v>1809017</v>
      </c>
      <c r="D20" s="39" t="s">
        <v>483</v>
      </c>
      <c r="E20" s="26">
        <f>9835+60874</f>
        <v>70709</v>
      </c>
      <c r="F20" s="26"/>
    </row>
    <row r="21" spans="2:6" ht="15.75">
      <c r="B21" s="54">
        <v>43354</v>
      </c>
      <c r="C21" s="15">
        <v>1809018</v>
      </c>
      <c r="D21" s="16" t="s">
        <v>484</v>
      </c>
      <c r="E21" s="26"/>
      <c r="F21" s="26">
        <v>2500</v>
      </c>
    </row>
    <row r="22" spans="2:6" ht="15.75">
      <c r="B22" s="54">
        <v>43354</v>
      </c>
      <c r="C22" s="15">
        <v>1809019</v>
      </c>
      <c r="D22" s="39" t="s">
        <v>248</v>
      </c>
      <c r="E22" s="26"/>
      <c r="F22" s="26">
        <v>6000</v>
      </c>
    </row>
    <row r="23" spans="2:6" ht="15.75">
      <c r="B23" s="54">
        <v>43354</v>
      </c>
      <c r="C23" s="15">
        <v>1809020</v>
      </c>
      <c r="D23" s="39" t="s">
        <v>485</v>
      </c>
      <c r="E23" s="26">
        <f>26559+10425+68806+7322</f>
        <v>113112</v>
      </c>
      <c r="F23" s="26"/>
    </row>
    <row r="24" spans="2:6" s="32" customFormat="1" ht="15.75">
      <c r="B24" s="54">
        <v>43355</v>
      </c>
      <c r="C24" s="15">
        <v>1809021</v>
      </c>
      <c r="D24" s="39" t="s">
        <v>486</v>
      </c>
      <c r="E24" s="26">
        <f>3098+32385+21340</f>
        <v>56823</v>
      </c>
      <c r="F24" s="26"/>
    </row>
    <row r="25" spans="2:6" ht="15.75">
      <c r="B25" s="54">
        <v>43356</v>
      </c>
      <c r="C25" s="15">
        <v>1809022</v>
      </c>
      <c r="D25" s="12" t="s">
        <v>487</v>
      </c>
      <c r="E25" s="26"/>
      <c r="F25" s="26">
        <v>1000</v>
      </c>
    </row>
    <row r="26" spans="2:6" ht="15.75">
      <c r="B26" s="54">
        <v>43356</v>
      </c>
      <c r="C26" s="15">
        <v>1809023</v>
      </c>
      <c r="D26" s="39" t="s">
        <v>488</v>
      </c>
      <c r="E26" s="26">
        <f>29128+4720+3210</f>
        <v>37058</v>
      </c>
      <c r="F26" s="26"/>
    </row>
    <row r="27" spans="2:6" ht="15.75">
      <c r="B27" s="54">
        <v>43357</v>
      </c>
      <c r="C27" s="15">
        <v>1809024</v>
      </c>
      <c r="D27" s="39" t="s">
        <v>489</v>
      </c>
      <c r="E27" s="26"/>
      <c r="F27" s="26">
        <v>20000</v>
      </c>
    </row>
    <row r="28" spans="2:6" ht="15.75">
      <c r="B28" s="54">
        <v>43357</v>
      </c>
      <c r="C28" s="15">
        <v>1809025</v>
      </c>
      <c r="D28" s="39" t="s">
        <v>401</v>
      </c>
      <c r="E28" s="26"/>
      <c r="F28" s="26">
        <v>70968</v>
      </c>
    </row>
    <row r="29" spans="2:6" ht="15.75">
      <c r="B29" s="52">
        <v>43357</v>
      </c>
      <c r="C29" s="15">
        <v>1809026</v>
      </c>
      <c r="D29" s="37" t="s">
        <v>490</v>
      </c>
      <c r="E29" s="26"/>
      <c r="F29" s="26">
        <v>78100</v>
      </c>
    </row>
    <row r="30" spans="2:6" ht="15.75">
      <c r="B30" s="54">
        <v>43357</v>
      </c>
      <c r="C30" s="15">
        <v>1809027</v>
      </c>
      <c r="D30" s="16" t="s">
        <v>491</v>
      </c>
      <c r="E30" s="26"/>
      <c r="F30" s="26">
        <v>175000</v>
      </c>
    </row>
    <row r="31" spans="2:6" ht="15.75">
      <c r="B31" s="54">
        <v>43357</v>
      </c>
      <c r="C31" s="15">
        <v>1809028</v>
      </c>
      <c r="D31" s="16" t="s">
        <v>492</v>
      </c>
      <c r="E31" s="26"/>
      <c r="F31" s="26">
        <v>30000</v>
      </c>
    </row>
    <row r="32" spans="2:6" ht="15.75">
      <c r="B32" s="54">
        <v>43357</v>
      </c>
      <c r="C32" s="15">
        <v>1809029</v>
      </c>
      <c r="D32" s="12" t="s">
        <v>493</v>
      </c>
      <c r="E32" s="26">
        <f>18272+35206+127798</f>
        <v>181276</v>
      </c>
      <c r="F32" s="26"/>
    </row>
    <row r="33" spans="2:6" ht="15.75">
      <c r="B33" s="54">
        <v>43357</v>
      </c>
      <c r="C33" s="15">
        <v>1809030</v>
      </c>
      <c r="D33" s="12" t="s">
        <v>412</v>
      </c>
      <c r="E33" s="26"/>
      <c r="F33" s="26">
        <v>2000</v>
      </c>
    </row>
    <row r="34" spans="2:6" ht="15.75">
      <c r="B34" s="54">
        <v>43358</v>
      </c>
      <c r="C34" s="15">
        <v>1809031</v>
      </c>
      <c r="D34" s="12" t="s">
        <v>494</v>
      </c>
      <c r="E34" s="26"/>
      <c r="F34" s="26">
        <v>20000</v>
      </c>
    </row>
    <row r="35" spans="2:6" ht="15.75">
      <c r="B35" s="54">
        <v>43360</v>
      </c>
      <c r="C35" s="15">
        <v>1809032</v>
      </c>
      <c r="D35" s="16" t="s">
        <v>495</v>
      </c>
      <c r="E35" s="26">
        <f>8856+56771+4661</f>
        <v>70288</v>
      </c>
      <c r="F35" s="26"/>
    </row>
    <row r="36" spans="2:6" ht="15.75">
      <c r="B36" s="54">
        <v>43361</v>
      </c>
      <c r="C36" s="15">
        <v>1809033</v>
      </c>
      <c r="D36" s="12" t="s">
        <v>258</v>
      </c>
      <c r="E36" s="26"/>
      <c r="F36" s="26">
        <v>3000</v>
      </c>
    </row>
    <row r="37" spans="2:6" ht="15.75">
      <c r="B37" s="54">
        <v>43361</v>
      </c>
      <c r="C37" s="15">
        <v>1809034</v>
      </c>
      <c r="D37" s="12" t="s">
        <v>496</v>
      </c>
      <c r="E37" s="26"/>
      <c r="F37" s="26">
        <v>30100</v>
      </c>
    </row>
    <row r="38" spans="2:6" ht="15.75">
      <c r="B38" s="54">
        <v>43361</v>
      </c>
      <c r="C38" s="15">
        <v>1809035</v>
      </c>
      <c r="D38" s="12" t="s">
        <v>497</v>
      </c>
      <c r="E38" s="26"/>
      <c r="F38" s="26">
        <v>40000</v>
      </c>
    </row>
    <row r="39" spans="2:6" ht="15.75">
      <c r="B39" s="54">
        <v>43361</v>
      </c>
      <c r="C39" s="15">
        <v>1809036</v>
      </c>
      <c r="D39" s="16" t="s">
        <v>498</v>
      </c>
      <c r="E39" s="26"/>
      <c r="F39" s="24">
        <v>21500</v>
      </c>
    </row>
    <row r="40" spans="2:6" ht="15.75">
      <c r="B40" s="54">
        <v>43361</v>
      </c>
      <c r="C40" s="15">
        <v>1809037</v>
      </c>
      <c r="D40" s="12" t="s">
        <v>499</v>
      </c>
      <c r="E40" s="26">
        <f>242135+242135+242135+242135+12668</f>
        <v>981208</v>
      </c>
      <c r="F40" s="26"/>
    </row>
    <row r="41" spans="2:6" ht="15.75">
      <c r="B41" s="54">
        <v>43362</v>
      </c>
      <c r="C41" s="15">
        <v>1809038</v>
      </c>
      <c r="D41" s="12" t="s">
        <v>500</v>
      </c>
      <c r="E41" s="26"/>
      <c r="F41" s="26">
        <v>114000</v>
      </c>
    </row>
    <row r="42" spans="2:6" ht="15.75">
      <c r="B42" s="54">
        <v>43362</v>
      </c>
      <c r="C42" s="15">
        <v>1809039</v>
      </c>
      <c r="D42" s="28" t="s">
        <v>515</v>
      </c>
      <c r="E42" s="26"/>
      <c r="F42" s="26">
        <v>110200</v>
      </c>
    </row>
    <row r="43" spans="2:6" ht="15.75">
      <c r="B43" s="54">
        <v>43362</v>
      </c>
      <c r="C43" s="15">
        <v>1809040</v>
      </c>
      <c r="D43" s="16" t="s">
        <v>514</v>
      </c>
      <c r="E43" s="26">
        <f>28184+3009+3776+7475</f>
        <v>42444</v>
      </c>
      <c r="F43" s="26"/>
    </row>
    <row r="44" spans="2:6" ht="15.75">
      <c r="B44" s="54">
        <v>43363</v>
      </c>
      <c r="C44" s="15">
        <v>1809041</v>
      </c>
      <c r="D44" s="12" t="s">
        <v>513</v>
      </c>
      <c r="E44" s="26"/>
      <c r="F44" s="26">
        <v>22500</v>
      </c>
    </row>
    <row r="45" spans="2:6" ht="15.75">
      <c r="B45" s="54">
        <v>43364</v>
      </c>
      <c r="C45" s="15">
        <v>1809042</v>
      </c>
      <c r="D45" s="16" t="s">
        <v>512</v>
      </c>
      <c r="E45" s="26"/>
      <c r="F45" s="26">
        <v>47000</v>
      </c>
    </row>
    <row r="46" spans="2:6" ht="15.75">
      <c r="B46" s="54">
        <v>43364</v>
      </c>
      <c r="C46" s="15">
        <v>1809043</v>
      </c>
      <c r="D46" s="16" t="s">
        <v>511</v>
      </c>
      <c r="E46" s="26"/>
      <c r="F46" s="26">
        <v>100000</v>
      </c>
    </row>
    <row r="47" spans="2:6" ht="15.75">
      <c r="B47" s="54">
        <v>43364</v>
      </c>
      <c r="C47" s="15">
        <v>1809044</v>
      </c>
      <c r="D47" s="16" t="s">
        <v>492</v>
      </c>
      <c r="E47" s="26"/>
      <c r="F47" s="26">
        <v>15000</v>
      </c>
    </row>
    <row r="48" spans="2:6" ht="15.75">
      <c r="B48" s="54">
        <v>43364</v>
      </c>
      <c r="C48" s="15">
        <v>1809045</v>
      </c>
      <c r="D48" s="16" t="s">
        <v>510</v>
      </c>
      <c r="E48" s="26">
        <f>21340+29866+5428+40069</f>
        <v>96703</v>
      </c>
      <c r="F48" s="26"/>
    </row>
    <row r="49" spans="2:6" ht="15.75">
      <c r="B49" s="14">
        <v>43365</v>
      </c>
      <c r="C49" s="15">
        <v>1809046</v>
      </c>
      <c r="D49" s="16" t="s">
        <v>509</v>
      </c>
      <c r="E49" s="26"/>
      <c r="F49" s="26">
        <v>17500</v>
      </c>
    </row>
    <row r="50" spans="2:6" ht="15.75">
      <c r="B50" s="14">
        <v>43367</v>
      </c>
      <c r="C50" s="15">
        <v>1809047</v>
      </c>
      <c r="D50" s="16" t="s">
        <v>508</v>
      </c>
      <c r="E50" s="26"/>
      <c r="F50" s="26">
        <v>100100</v>
      </c>
    </row>
    <row r="51" spans="2:6" ht="15.75">
      <c r="B51" s="14">
        <v>43367</v>
      </c>
      <c r="C51" s="15">
        <v>1809048</v>
      </c>
      <c r="D51" s="16" t="s">
        <v>507</v>
      </c>
      <c r="E51" s="26"/>
      <c r="F51" s="26">
        <v>10000</v>
      </c>
    </row>
    <row r="52" spans="2:6" ht="15.75">
      <c r="B52" s="14">
        <v>43367</v>
      </c>
      <c r="C52" s="15">
        <v>1809049</v>
      </c>
      <c r="D52" s="16" t="s">
        <v>506</v>
      </c>
      <c r="E52" s="26"/>
      <c r="F52" s="26">
        <v>10000</v>
      </c>
    </row>
    <row r="53" spans="2:6" ht="15.75">
      <c r="B53" s="14">
        <v>43367</v>
      </c>
      <c r="C53" s="15">
        <v>1809050</v>
      </c>
      <c r="D53" s="16" t="s">
        <v>505</v>
      </c>
      <c r="E53" s="26"/>
      <c r="F53" s="26">
        <v>50000</v>
      </c>
    </row>
    <row r="54" spans="2:6" ht="15.75">
      <c r="B54" s="14">
        <v>43368</v>
      </c>
      <c r="C54" s="15">
        <v>1809051</v>
      </c>
      <c r="D54" s="16" t="s">
        <v>281</v>
      </c>
      <c r="E54" s="26"/>
      <c r="F54" s="26">
        <v>25000</v>
      </c>
    </row>
    <row r="55" spans="2:6" ht="15.75">
      <c r="B55" s="14">
        <v>43368</v>
      </c>
      <c r="C55" s="15">
        <v>1809052</v>
      </c>
      <c r="D55" s="16" t="s">
        <v>345</v>
      </c>
      <c r="E55" s="26"/>
      <c r="F55" s="26">
        <v>6000</v>
      </c>
    </row>
    <row r="56" spans="2:6" ht="15.75">
      <c r="B56" s="14">
        <v>43368</v>
      </c>
      <c r="C56" s="15">
        <v>1809053</v>
      </c>
      <c r="D56" s="16" t="s">
        <v>504</v>
      </c>
      <c r="E56" s="26">
        <f>8200+4915+24172+4632+4779+53234+7121+6871</f>
        <v>113924</v>
      </c>
      <c r="F56" s="26"/>
    </row>
    <row r="57" spans="2:6" ht="15.75">
      <c r="B57" s="14">
        <v>43369</v>
      </c>
      <c r="C57" s="15">
        <v>1809054</v>
      </c>
      <c r="D57" s="16" t="s">
        <v>503</v>
      </c>
      <c r="E57" s="26"/>
      <c r="F57" s="26">
        <v>200000</v>
      </c>
    </row>
    <row r="58" spans="2:6" ht="15.75">
      <c r="B58" s="14">
        <v>43369</v>
      </c>
      <c r="C58" s="15">
        <v>1809055</v>
      </c>
      <c r="D58" s="16" t="s">
        <v>502</v>
      </c>
      <c r="E58" s="26"/>
      <c r="F58" s="26">
        <v>10000</v>
      </c>
    </row>
    <row r="59" spans="2:6" ht="15.75">
      <c r="B59" s="14">
        <v>43369</v>
      </c>
      <c r="C59" s="15">
        <v>1809056</v>
      </c>
      <c r="D59" s="16" t="s">
        <v>501</v>
      </c>
      <c r="E59" s="26"/>
      <c r="F59" s="26">
        <v>4900</v>
      </c>
    </row>
    <row r="60" spans="2:6" ht="15.75">
      <c r="B60" s="14">
        <v>43370</v>
      </c>
      <c r="C60" s="15">
        <v>1809057</v>
      </c>
      <c r="D60" s="16" t="s">
        <v>517</v>
      </c>
      <c r="E60" s="26">
        <f>422114+21208+11806</f>
        <v>455128</v>
      </c>
      <c r="F60" s="26"/>
    </row>
    <row r="61" spans="2:6" ht="15.75">
      <c r="B61" s="14">
        <v>43371</v>
      </c>
      <c r="C61" s="15">
        <v>1809058</v>
      </c>
      <c r="D61" s="16" t="s">
        <v>516</v>
      </c>
      <c r="E61" s="26"/>
      <c r="F61" s="26">
        <v>99750</v>
      </c>
    </row>
    <row r="62" spans="2:6" ht="15.75">
      <c r="B62" s="14">
        <v>43372</v>
      </c>
      <c r="C62" s="15">
        <v>1809059</v>
      </c>
      <c r="D62" s="16" t="s">
        <v>520</v>
      </c>
      <c r="E62" s="26"/>
      <c r="F62" s="26">
        <v>1000</v>
      </c>
    </row>
    <row r="63" spans="2:6" ht="15.75">
      <c r="B63" s="14">
        <v>43372</v>
      </c>
      <c r="C63" s="15">
        <v>1809060</v>
      </c>
      <c r="D63" s="16" t="s">
        <v>519</v>
      </c>
      <c r="E63" s="26"/>
      <c r="F63" s="26">
        <v>14000</v>
      </c>
    </row>
    <row r="64" spans="2:6" ht="15.75">
      <c r="B64" s="14">
        <v>43372</v>
      </c>
      <c r="C64" s="15">
        <v>1809061</v>
      </c>
      <c r="D64" s="16" t="s">
        <v>518</v>
      </c>
      <c r="E64" s="26">
        <f>27181+105534</f>
        <v>132715</v>
      </c>
      <c r="F64" s="26"/>
    </row>
    <row r="65" spans="2:6" ht="15.75">
      <c r="B65" s="6">
        <v>43373</v>
      </c>
      <c r="C65" s="36">
        <v>1809062</v>
      </c>
      <c r="D65" s="35" t="s">
        <v>521</v>
      </c>
      <c r="E65" s="24">
        <v>500000</v>
      </c>
      <c r="F65" s="24"/>
    </row>
    <row r="66" spans="2:6" ht="15.75">
      <c r="B66" s="6">
        <v>43373</v>
      </c>
      <c r="C66" s="34">
        <v>1809063</v>
      </c>
      <c r="D66" s="35" t="s">
        <v>522</v>
      </c>
      <c r="E66" s="24"/>
      <c r="F66" s="24">
        <v>800000</v>
      </c>
    </row>
    <row r="67" spans="2:6" ht="15.75">
      <c r="B67" s="6">
        <v>43373</v>
      </c>
      <c r="C67" s="34">
        <v>1809064</v>
      </c>
      <c r="D67" s="35" t="s">
        <v>626</v>
      </c>
      <c r="E67" s="33"/>
      <c r="F67" s="33">
        <v>575000</v>
      </c>
    </row>
    <row r="68" spans="2:6" ht="15.75">
      <c r="B68" s="18"/>
      <c r="C68" s="19"/>
      <c r="D68" s="20"/>
      <c r="E68" s="25">
        <f>SUM(E3:E67)</f>
        <v>3574595</v>
      </c>
      <c r="F68" s="25">
        <f>SUM(F3:F67)</f>
        <v>3320618</v>
      </c>
    </row>
    <row r="69" spans="2:6">
      <c r="B69" s="5"/>
      <c r="C69" s="27"/>
    </row>
    <row r="70" spans="2:6">
      <c r="B70" s="5"/>
      <c r="C70" s="27"/>
      <c r="E70" s="21" t="s">
        <v>6</v>
      </c>
      <c r="F70" s="17">
        <f>E68-F68</f>
        <v>253977</v>
      </c>
    </row>
  </sheetData>
  <printOptions horizontalCentered="1" vertic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JANVIER 2018</vt:lpstr>
      <vt:lpstr>FEVRIER 2018</vt:lpstr>
      <vt:lpstr>MARS 2018</vt:lpstr>
      <vt:lpstr>AVRIL 2018</vt:lpstr>
      <vt:lpstr>MAI 2018</vt:lpstr>
      <vt:lpstr>JUIN 2018</vt:lpstr>
      <vt:lpstr>JUILLET 2018</vt:lpstr>
      <vt:lpstr>AOÛT 2018</vt:lpstr>
      <vt:lpstr>SEPTEMBRE 2018</vt:lpstr>
      <vt:lpstr>OCTOBRE 2018</vt:lpstr>
      <vt:lpstr>NOVEMBRE 2018</vt:lpstr>
      <vt:lpstr>DECEMBRE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SOSB03</dc:creator>
  <cp:lastModifiedBy>SOSB04</cp:lastModifiedBy>
  <cp:lastPrinted>2018-12-08T13:25:31Z</cp:lastPrinted>
  <dcterms:created xsi:type="dcterms:W3CDTF">2016-01-05T07:27:56Z</dcterms:created>
  <dcterms:modified xsi:type="dcterms:W3CDTF">2019-01-22T11:23:18Z</dcterms:modified>
</cp:coreProperties>
</file>