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0\tanoh serveur2\TANOH\COMPTABILITE 2024\RAPPROCHEMENT BANCAIRE 2024\"/>
    </mc:Choice>
  </mc:AlternateContent>
  <bookViews>
    <workbookView showSheetTabs="0" xWindow="0" yWindow="0" windowWidth="25200" windowHeight="11385"/>
  </bookViews>
  <sheets>
    <sheet name="Feuil1" sheetId="1" r:id="rId1"/>
    <sheet name="Feuil2" sheetId="2" r:id="rId2"/>
    <sheet name="Feuil3" sheetId="3" r:id="rId3"/>
  </sheets>
  <definedNames>
    <definedName name="_xlnm.Print_Area" localSheetId="0">Feuil1!$A$2317:$G$2416</definedName>
  </definedNames>
  <calcPr calcId="152511"/>
</workbook>
</file>

<file path=xl/calcChain.xml><?xml version="1.0" encoding="utf-8"?>
<calcChain xmlns="http://schemas.openxmlformats.org/spreadsheetml/2006/main">
  <c r="F2483" i="1" l="1"/>
  <c r="F2482" i="1"/>
  <c r="I2510" i="1" l="1"/>
  <c r="F2437" i="1" l="1"/>
  <c r="F2436" i="1"/>
  <c r="I2437" i="1" l="1"/>
  <c r="I2316" i="1" l="1"/>
  <c r="F2387" i="1" l="1"/>
  <c r="I2232" i="1" l="1"/>
  <c r="F2354" i="1"/>
  <c r="F2352" i="1"/>
  <c r="F2355" i="1"/>
  <c r="F2340" i="1" l="1"/>
  <c r="F2356" i="1" l="1"/>
  <c r="F2353" i="1"/>
  <c r="F2351" i="1"/>
  <c r="F2323" i="1" l="1"/>
  <c r="F2286" i="1" l="1"/>
  <c r="F2291" i="1" l="1"/>
  <c r="F2270" i="1" l="1"/>
  <c r="F2268" i="1"/>
  <c r="F2252" i="1"/>
  <c r="F2271" i="1" l="1"/>
  <c r="F2269" i="1"/>
  <c r="I2142" i="1" l="1"/>
  <c r="I2040" i="1" l="1"/>
  <c r="I1952" i="1" l="1"/>
  <c r="F2184" i="1" l="1"/>
  <c r="F2186" i="1"/>
  <c r="F2187" i="1" l="1"/>
  <c r="F2185" i="1"/>
  <c r="F2183" i="1"/>
  <c r="F2173" i="1" l="1"/>
  <c r="F2161" i="1" l="1"/>
  <c r="F2125" i="1" l="1"/>
  <c r="F2140" i="1" l="1"/>
  <c r="F2126" i="1" l="1"/>
  <c r="F2092" i="1" l="1"/>
  <c r="F2093" i="1"/>
  <c r="F2085" i="1" l="1"/>
  <c r="F2087" i="1"/>
  <c r="F2084" i="1"/>
  <c r="F2086" i="1" l="1"/>
  <c r="F2083" i="1"/>
  <c r="F2048" i="1" l="1"/>
  <c r="F2047" i="1" l="1"/>
  <c r="I1915" i="1" l="1"/>
  <c r="F1980" i="1"/>
  <c r="F2021" i="1" l="1"/>
  <c r="F1985" i="1" l="1"/>
  <c r="F1984" i="1" l="1"/>
  <c r="F1981" i="1"/>
  <c r="F1983" i="1"/>
  <c r="F1978" i="1"/>
  <c r="F1977" i="1"/>
  <c r="F1982" i="1" l="1"/>
  <c r="F1979" i="1"/>
  <c r="F1965" i="1" l="1"/>
  <c r="I1850" i="1" l="1"/>
  <c r="F1891" i="1" l="1"/>
  <c r="F1890" i="1"/>
  <c r="F1865" i="1" l="1"/>
  <c r="F1866" i="1"/>
  <c r="F1882" i="1"/>
  <c r="F1883" i="1"/>
  <c r="F1884" i="1"/>
  <c r="F1885" i="1"/>
  <c r="F1889" i="1" l="1"/>
  <c r="F1892" i="1" l="1"/>
  <c r="F1881" i="1" l="1"/>
  <c r="F1880" i="1"/>
  <c r="F1867" i="1" l="1"/>
  <c r="F1864" i="1" l="1"/>
  <c r="I1786" i="1"/>
  <c r="F1861" i="1" l="1"/>
  <c r="F1834" i="1" l="1"/>
  <c r="E1833" i="1"/>
  <c r="E1832" i="1"/>
  <c r="E1831" i="1"/>
  <c r="E1830" i="1"/>
  <c r="E1829" i="1"/>
  <c r="E1826" i="1"/>
  <c r="E1837" i="1" l="1"/>
  <c r="F1812" i="1" l="1"/>
  <c r="F1814" i="1"/>
  <c r="F1825" i="1"/>
  <c r="E1818" i="1" l="1"/>
  <c r="F1817" i="1" l="1"/>
  <c r="E1809" i="1" l="1"/>
  <c r="F1813" i="1" l="1"/>
  <c r="F1811" i="1"/>
  <c r="E1802" i="1" l="1"/>
  <c r="F1800" i="1" l="1"/>
  <c r="E1794" i="1" l="1"/>
  <c r="E1779" i="1" l="1"/>
  <c r="E1773" i="1" l="1"/>
  <c r="F1772" i="1" l="1"/>
  <c r="F1766" i="1" l="1"/>
  <c r="F1763" i="1"/>
  <c r="F1762" i="1"/>
  <c r="F1732" i="1" l="1"/>
  <c r="I1739" i="1" s="1"/>
  <c r="F1767" i="1" l="1"/>
  <c r="F1765" i="1"/>
  <c r="F1764" i="1"/>
  <c r="E1754" i="1" l="1"/>
  <c r="E1750" i="1" l="1"/>
  <c r="E1748" i="1" l="1"/>
  <c r="E1745" i="1" l="1"/>
  <c r="E1729" i="1" l="1"/>
  <c r="E1733" i="1" l="1"/>
  <c r="F1722" i="1" l="1"/>
  <c r="F1721" i="1"/>
  <c r="F1723" i="1"/>
  <c r="F1719" i="1"/>
  <c r="F1725" i="1"/>
  <c r="F1724" i="1" l="1"/>
  <c r="F1720" i="1"/>
  <c r="F1718" i="1"/>
  <c r="E1717" i="1" l="1"/>
  <c r="E1712" i="1" l="1"/>
  <c r="F1703" i="1" l="1"/>
  <c r="E1706" i="1" l="1"/>
  <c r="E1701" i="1" l="1"/>
  <c r="E1697" i="1" l="1"/>
  <c r="E1685" i="1" l="1"/>
  <c r="F1682" i="1" l="1"/>
  <c r="E1683" i="1" l="1"/>
  <c r="E1618" i="1"/>
  <c r="E1610" i="1" l="1"/>
  <c r="F1680" i="1" l="1"/>
  <c r="E1628" i="1" l="1"/>
  <c r="E1660" i="1" l="1"/>
  <c r="E1639" i="1" l="1"/>
  <c r="E1666" i="1" l="1"/>
  <c r="E1665" i="1"/>
  <c r="E1667" i="1" l="1"/>
  <c r="E1671" i="1" l="1"/>
  <c r="F1678" i="1" l="1"/>
  <c r="F1674" i="1"/>
  <c r="F1661" i="1" l="1"/>
  <c r="F1641" i="1" l="1"/>
  <c r="F1625" i="1"/>
  <c r="F1629" i="1"/>
  <c r="F1632" i="1"/>
  <c r="F1634" i="1"/>
  <c r="F1630" i="1"/>
  <c r="F1635" i="1"/>
  <c r="F1633" i="1" l="1"/>
  <c r="F1631" i="1"/>
  <c r="F1614" i="1" l="1"/>
  <c r="F1593" i="1"/>
  <c r="F1604" i="1"/>
  <c r="F1605" i="1"/>
  <c r="F1607" i="1"/>
  <c r="F1606" i="1" l="1"/>
  <c r="E1602" i="1" l="1"/>
  <c r="E1599" i="1" l="1"/>
  <c r="E1595" i="1" l="1"/>
  <c r="E1587" i="1" l="1"/>
  <c r="F1585" i="1" l="1"/>
  <c r="E1578" i="1" l="1"/>
  <c r="I1574" i="1" l="1"/>
  <c r="F1542" i="1"/>
  <c r="F1564" i="1"/>
  <c r="E1575" i="1" l="1"/>
  <c r="E1568" i="1" l="1"/>
  <c r="E1567" i="1" l="1"/>
  <c r="F1565" i="1" l="1"/>
  <c r="E1559" i="1" l="1"/>
  <c r="E1556" i="1" l="1"/>
  <c r="E1546" i="1" l="1"/>
  <c r="F1536" i="1" l="1"/>
  <c r="F1535" i="1"/>
  <c r="E1533" i="1" l="1"/>
  <c r="F1513" i="1" l="1"/>
  <c r="F1521" i="1"/>
  <c r="F1520" i="1"/>
  <c r="F1517" i="1"/>
  <c r="F1519" i="1"/>
  <c r="E1529" i="1" l="1"/>
  <c r="E1522" i="1" l="1"/>
  <c r="F1518" i="1" l="1"/>
  <c r="E1509" i="1" l="1"/>
  <c r="E1507" i="1" l="1"/>
  <c r="E1512" i="1" l="1"/>
  <c r="F1508" i="1" l="1"/>
  <c r="F1496" i="1" l="1"/>
  <c r="F1492" i="1" l="1"/>
  <c r="E1495" i="1" l="1"/>
  <c r="E1493" i="1" l="1"/>
  <c r="E1485" i="1" l="1"/>
  <c r="F1466" i="1" l="1"/>
  <c r="F1467" i="1"/>
  <c r="F1468" i="1"/>
  <c r="E1473" i="1" l="1"/>
  <c r="E1470" i="1" l="1"/>
  <c r="F1469" i="1" l="1"/>
  <c r="F1465" i="1"/>
  <c r="F1464" i="1"/>
  <c r="E1459" i="1" l="1"/>
  <c r="F1458" i="1" l="1"/>
  <c r="F1451" i="1" l="1"/>
  <c r="E1455" i="1" l="1"/>
  <c r="E1454" i="1" l="1"/>
  <c r="E1441" i="1" l="1"/>
  <c r="I1438" i="1" l="1"/>
  <c r="F1423" i="1" l="1"/>
  <c r="F1426" i="1"/>
  <c r="E1436" i="1" l="1"/>
  <c r="E1428" i="1" l="1"/>
  <c r="E1424" i="1" l="1"/>
  <c r="E1422" i="1" l="1"/>
  <c r="E1419" i="1" l="1"/>
  <c r="E1418" i="1" l="1"/>
  <c r="F1409" i="1" l="1"/>
  <c r="F1403" i="1"/>
  <c r="F1406" i="1"/>
  <c r="F1407" i="1"/>
  <c r="F1408" i="1"/>
  <c r="E1410" i="1" l="1"/>
  <c r="F1393" i="1" l="1"/>
  <c r="E1402" i="1" l="1"/>
  <c r="F1405" i="1" l="1"/>
  <c r="F1404" i="1"/>
  <c r="E1388" i="1" l="1"/>
  <c r="E1384" i="1" l="1"/>
  <c r="E1380" i="1" l="1"/>
  <c r="F1382" i="1" l="1"/>
  <c r="E1371" i="1" l="1"/>
  <c r="E1370" i="1"/>
  <c r="F1368" i="1" l="1"/>
  <c r="F1367" i="1"/>
  <c r="E1365" i="1" l="1"/>
  <c r="F1363" i="1" l="1"/>
  <c r="E1357" i="1" l="1"/>
  <c r="F1352" i="1" l="1"/>
  <c r="F1348" i="1"/>
  <c r="F1350" i="1"/>
  <c r="F1353" i="1"/>
  <c r="F1349" i="1"/>
  <c r="E1356" i="1" l="1"/>
  <c r="F1324" i="1" l="1"/>
  <c r="F1336" i="1"/>
  <c r="F1335" i="1"/>
  <c r="E1354" i="1" l="1"/>
  <c r="F1351" i="1" l="1"/>
  <c r="F1347" i="1"/>
  <c r="E1334" i="1" l="1"/>
  <c r="F1337" i="1" l="1"/>
  <c r="F1304" i="1" l="1"/>
  <c r="E1329" i="1" l="1"/>
  <c r="E1311" i="1" l="1"/>
  <c r="E1322" i="1" l="1"/>
  <c r="E1323" i="1" l="1"/>
  <c r="E1325" i="1" l="1"/>
  <c r="F1313" i="1" l="1"/>
  <c r="E1306" i="1" l="1"/>
  <c r="F1266" i="1" l="1"/>
  <c r="F1298" i="1"/>
  <c r="E1303" i="1" l="1"/>
  <c r="F1296" i="1" l="1"/>
  <c r="F1290" i="1"/>
  <c r="F1291" i="1"/>
  <c r="F1294" i="1"/>
  <c r="F1295" i="1"/>
  <c r="F1300" i="1"/>
  <c r="E1299" i="1" l="1"/>
  <c r="E1283" i="1" l="1"/>
  <c r="F1297" i="1" l="1"/>
  <c r="E1282" i="1" l="1"/>
  <c r="F1293" i="1" l="1"/>
  <c r="F1292" i="1"/>
  <c r="I1279" i="1" l="1"/>
  <c r="F1225" i="1" l="1"/>
  <c r="F1222" i="1"/>
  <c r="F1275" i="1" l="1"/>
  <c r="F1274" i="1"/>
  <c r="E1268" i="1" l="1"/>
  <c r="E1264" i="1" l="1"/>
  <c r="E1263" i="1" l="1"/>
  <c r="E1259" i="1" l="1"/>
  <c r="E1258" i="1" l="1"/>
  <c r="F1257" i="1" l="1"/>
  <c r="E1248" i="1" l="1"/>
  <c r="F1246" i="1" l="1"/>
  <c r="F1242" i="1"/>
  <c r="E1244" i="1" l="1"/>
  <c r="E1243" i="1"/>
  <c r="E1236" i="1" l="1"/>
  <c r="F1220" i="1" l="1"/>
  <c r="F1226" i="1"/>
  <c r="F1219" i="1"/>
  <c r="F1223" i="1"/>
  <c r="F1227" i="1"/>
  <c r="F1213" i="1" l="1"/>
  <c r="E1228" i="1" l="1"/>
  <c r="F1224" i="1" l="1"/>
  <c r="F1221" i="1"/>
  <c r="E1210" i="1" l="1"/>
  <c r="E1209" i="1"/>
  <c r="E1148" i="1"/>
  <c r="F1192" i="1" l="1"/>
  <c r="F1176" i="1"/>
  <c r="E1194" i="1" l="1"/>
  <c r="E1188" i="1" l="1"/>
  <c r="E1187" i="1" l="1"/>
  <c r="E1175" i="1" l="1"/>
  <c r="E1173" i="1" l="1"/>
  <c r="F1170" i="1" l="1"/>
  <c r="F1169" i="1"/>
  <c r="F1172" i="1"/>
  <c r="F1166" i="1"/>
  <c r="F1168" i="1"/>
  <c r="F1171" i="1" l="1"/>
  <c r="F1167" i="1"/>
  <c r="F1165" i="1"/>
  <c r="E1163" i="1" l="1"/>
  <c r="E1161" i="1" l="1"/>
  <c r="F1154" i="1" l="1"/>
  <c r="F1157" i="1" l="1"/>
  <c r="F1156" i="1" l="1"/>
  <c r="E1153" i="1" l="1"/>
  <c r="E1138" i="1" l="1"/>
  <c r="E1134" i="1" l="1"/>
  <c r="E1136" i="1" l="1"/>
  <c r="F1131" i="1" l="1"/>
  <c r="F1130" i="1" l="1"/>
  <c r="E1129" i="1" l="1"/>
  <c r="F1106" i="1" l="1"/>
  <c r="E1120" i="1" l="1"/>
  <c r="F1108" i="1" l="1"/>
  <c r="F1107" i="1"/>
  <c r="F1109" i="1"/>
  <c r="F1094" i="1"/>
  <c r="E1114" i="1" l="1"/>
  <c r="E1101" i="1" l="1"/>
  <c r="F1099" i="1" l="1"/>
  <c r="F1097" i="1"/>
  <c r="F1111" i="1" l="1"/>
  <c r="F1110" i="1"/>
  <c r="E1091" i="1" l="1"/>
  <c r="E1089" i="1" l="1"/>
  <c r="E1088" i="1" l="1"/>
  <c r="F1074" i="1" l="1"/>
  <c r="E1080" i="1" l="1"/>
  <c r="F1079" i="1" l="1"/>
  <c r="E1077" i="1" l="1"/>
  <c r="E1073" i="1" l="1"/>
  <c r="E1069" i="1" l="1"/>
  <c r="F1040" i="1" l="1"/>
  <c r="E1065" i="1" l="1"/>
  <c r="E1058" i="1" l="1"/>
  <c r="F1045" i="1" l="1"/>
  <c r="F1046" i="1"/>
  <c r="F1043" i="1"/>
  <c r="F1050" i="1"/>
  <c r="F1049" i="1" l="1"/>
  <c r="F1048" i="1"/>
  <c r="F1047" i="1"/>
  <c r="F1044" i="1"/>
  <c r="E1041" i="1" l="1"/>
  <c r="E1029" i="1" l="1"/>
  <c r="E1026" i="1" l="1"/>
  <c r="F1008" i="1" l="1"/>
  <c r="F1007" i="1"/>
  <c r="F1017" i="1"/>
  <c r="F1022" i="1"/>
  <c r="E1021" i="1" l="1"/>
  <c r="E1016" i="1" l="1"/>
  <c r="E1013" i="1" l="1"/>
  <c r="F999" i="1" l="1"/>
  <c r="F1003" i="1"/>
  <c r="F997" i="1"/>
  <c r="F1002" i="1"/>
  <c r="F1012" i="1"/>
  <c r="E1006" i="1" l="1"/>
  <c r="E1004" i="1" l="1"/>
  <c r="E996" i="1" l="1"/>
  <c r="F1001" i="1" l="1"/>
  <c r="F1000" i="1"/>
  <c r="F998" i="1"/>
  <c r="E994" i="1" l="1"/>
  <c r="E992" i="1" l="1"/>
  <c r="E980" i="1" l="1"/>
  <c r="F984" i="1" l="1"/>
  <c r="F972" i="1" l="1"/>
  <c r="F971" i="1"/>
  <c r="F968" i="1"/>
  <c r="F973" i="1"/>
  <c r="F977" i="1" l="1"/>
  <c r="F966" i="1" l="1"/>
  <c r="E967" i="1" l="1"/>
  <c r="E963" i="1" l="1"/>
  <c r="E957" i="1" l="1"/>
  <c r="E952" i="1" l="1"/>
  <c r="E950" i="1" l="1"/>
  <c r="F970" i="1" l="1"/>
  <c r="F969" i="1"/>
  <c r="F961" i="1" l="1"/>
  <c r="I942" i="1" l="1"/>
  <c r="F934" i="1"/>
  <c r="E938" i="1" l="1"/>
  <c r="F935" i="1" l="1"/>
  <c r="F910" i="1" l="1"/>
  <c r="F929" i="1"/>
  <c r="E930" i="1" l="1"/>
  <c r="E926" i="1" l="1"/>
  <c r="E916" i="1"/>
  <c r="E915" i="1" l="1"/>
  <c r="F919" i="1" l="1"/>
  <c r="F888" i="1"/>
  <c r="F902" i="1"/>
  <c r="F903" i="1"/>
  <c r="E906" i="1" l="1"/>
  <c r="E900" i="1" l="1"/>
  <c r="F890" i="1" l="1"/>
  <c r="F894" i="1"/>
  <c r="F893" i="1"/>
  <c r="F891" i="1"/>
  <c r="F895" i="1" l="1"/>
  <c r="F885" i="1" l="1"/>
  <c r="F876" i="1"/>
  <c r="E887" i="1" l="1"/>
  <c r="F892" i="1" l="1"/>
  <c r="F883" i="1" l="1"/>
  <c r="E880" i="1" l="1"/>
  <c r="E874" i="1" l="1"/>
  <c r="E871" i="1" l="1"/>
  <c r="E868" i="1" l="1"/>
  <c r="E867" i="1" l="1"/>
  <c r="E862" i="1" l="1"/>
  <c r="F846" i="1" l="1"/>
  <c r="F843" i="1"/>
  <c r="F850" i="1"/>
  <c r="F853" i="1"/>
  <c r="F847" i="1"/>
  <c r="F845" i="1"/>
  <c r="E851" i="1" l="1"/>
  <c r="E842" i="1" l="1"/>
  <c r="E834" i="1" l="1"/>
  <c r="F836" i="1" l="1"/>
  <c r="F849" i="1" l="1"/>
  <c r="F848" i="1"/>
  <c r="F844" i="1"/>
  <c r="E822" i="1" l="1"/>
  <c r="F787" i="1" l="1"/>
  <c r="F793" i="1"/>
  <c r="F792" i="1"/>
  <c r="F790" i="1"/>
  <c r="F794" i="1"/>
  <c r="F786" i="1"/>
  <c r="F818" i="1"/>
  <c r="E816" i="1" l="1"/>
  <c r="E815" i="1" l="1"/>
  <c r="E803" i="1" l="1"/>
  <c r="E799" i="1" l="1"/>
  <c r="E797" i="1" l="1"/>
  <c r="E795" i="1" l="1"/>
  <c r="E776" i="1" l="1"/>
  <c r="E774" i="1" l="1"/>
  <c r="F784" i="1" l="1"/>
  <c r="F791" i="1" l="1"/>
  <c r="F773" i="1" l="1"/>
  <c r="E757" i="1" l="1"/>
  <c r="E753" i="1" l="1"/>
  <c r="F747" i="1" l="1"/>
  <c r="F746" i="1"/>
  <c r="F745" i="1"/>
  <c r="F751" i="1" l="1"/>
  <c r="F749" i="1"/>
  <c r="F748" i="1"/>
  <c r="F740" i="1" l="1"/>
  <c r="F741" i="1"/>
  <c r="E744" i="1" l="1"/>
  <c r="E728" i="1" l="1"/>
  <c r="E722" i="1" l="1"/>
  <c r="F698" i="1" l="1"/>
  <c r="F697" i="1"/>
  <c r="F701" i="1"/>
  <c r="F700" i="1"/>
  <c r="F696" i="1"/>
  <c r="F719" i="1"/>
  <c r="E718" i="1" l="1"/>
  <c r="E712" i="1" l="1"/>
  <c r="E711" i="1" l="1"/>
  <c r="E702" i="1" l="1"/>
  <c r="F699" i="1" l="1"/>
  <c r="F695" i="1"/>
  <c r="F687" i="1"/>
  <c r="E688" i="1" l="1"/>
  <c r="F685" i="1" l="1"/>
  <c r="F686" i="1" l="1"/>
  <c r="E681" i="1" l="1"/>
  <c r="E673" i="1" l="1"/>
  <c r="F671" i="1" l="1"/>
  <c r="E670" i="1" l="1"/>
  <c r="E668" i="1" l="1"/>
  <c r="F667" i="1" l="1"/>
  <c r="E665" i="1" l="1"/>
  <c r="E659" i="1" l="1"/>
  <c r="F636" i="1" l="1"/>
  <c r="F642" i="1"/>
  <c r="F644" i="1"/>
  <c r="F641" i="1"/>
  <c r="F639" i="1"/>
  <c r="F643" i="1"/>
  <c r="E645" i="1" l="1"/>
  <c r="E634" i="1" l="1"/>
  <c r="E633" i="1"/>
  <c r="F640" i="1" l="1"/>
  <c r="F638" i="1"/>
  <c r="F637" i="1"/>
  <c r="E628" i="1" l="1"/>
  <c r="F625" i="1" l="1"/>
  <c r="I622" i="1" l="1"/>
  <c r="E619" i="1" l="1"/>
  <c r="F601" i="1" l="1"/>
  <c r="F600" i="1"/>
  <c r="E604" i="1" l="1"/>
  <c r="E608" i="1" l="1"/>
  <c r="F591" i="1" l="1"/>
  <c r="F587" i="1"/>
  <c r="F592" i="1"/>
  <c r="F589" i="1"/>
  <c r="F588" i="1"/>
  <c r="F595" i="1"/>
  <c r="F594" i="1" l="1"/>
  <c r="F593" i="1"/>
  <c r="F590" i="1"/>
  <c r="E586" i="1" l="1"/>
  <c r="E584" i="1" l="1"/>
  <c r="E582" i="1" l="1"/>
  <c r="E577" i="1" l="1"/>
  <c r="E569" i="1" l="1"/>
  <c r="E565" i="1" l="1"/>
  <c r="E567" i="1"/>
  <c r="F572" i="1" l="1"/>
  <c r="F563" i="1" l="1"/>
  <c r="F556" i="1" l="1"/>
  <c r="E558" i="1" l="1"/>
  <c r="F550" i="1" l="1"/>
  <c r="F548" i="1"/>
  <c r="F552" i="1"/>
  <c r="F547" i="1"/>
  <c r="E545" i="1" l="1"/>
  <c r="E553" i="1" l="1"/>
  <c r="F532" i="1" l="1"/>
  <c r="F533" i="1"/>
  <c r="E543" i="1" l="1"/>
  <c r="F539" i="1" l="1"/>
  <c r="F551" i="1" l="1"/>
  <c r="F549" i="1"/>
  <c r="E535" i="1" l="1"/>
  <c r="E524" i="1" l="1"/>
  <c r="E519" i="1" l="1"/>
  <c r="F517" i="1" l="1"/>
  <c r="E508" i="1" l="1"/>
  <c r="E507" i="1"/>
  <c r="F506" i="1" l="1"/>
  <c r="F494" i="1" l="1"/>
  <c r="F495" i="1"/>
  <c r="F497" i="1"/>
  <c r="F492" i="1"/>
  <c r="F493" i="1"/>
  <c r="E502" i="1" l="1"/>
  <c r="E501" i="1"/>
  <c r="E490" i="1" l="1"/>
  <c r="F499" i="1" l="1"/>
  <c r="F498" i="1"/>
  <c r="F496" i="1"/>
  <c r="E488" i="1" l="1"/>
  <c r="E481" i="1" l="1"/>
  <c r="E477" i="1" l="1"/>
  <c r="E474" i="1" l="1"/>
  <c r="F466" i="1" l="1"/>
  <c r="F465" i="1"/>
  <c r="E467" i="1" l="1"/>
  <c r="F469" i="1" l="1"/>
  <c r="E462" i="1" l="1"/>
  <c r="F463" i="1" l="1"/>
  <c r="E459" i="1" l="1"/>
  <c r="F454" i="1" l="1"/>
  <c r="F448" i="1"/>
  <c r="F455" i="1"/>
  <c r="F447" i="1"/>
  <c r="F451" i="1"/>
  <c r="F449" i="1"/>
  <c r="F446" i="1"/>
  <c r="E456" i="1" l="1"/>
  <c r="F453" i="1" l="1"/>
  <c r="F452" i="1"/>
  <c r="F450" i="1"/>
  <c r="F441" i="1" l="1"/>
  <c r="F430" i="1"/>
  <c r="F431" i="1"/>
  <c r="E442" i="1" l="1"/>
  <c r="F439" i="1" l="1"/>
  <c r="F437" i="1"/>
  <c r="E435" i="1" l="1"/>
  <c r="E422" i="1" l="1"/>
  <c r="F405" i="1" l="1"/>
  <c r="F404" i="1"/>
  <c r="F406" i="1"/>
  <c r="F412" i="1"/>
  <c r="F411" i="1"/>
  <c r="F409" i="1"/>
  <c r="E416" i="1" l="1"/>
  <c r="E408" i="1" l="1"/>
  <c r="E399" i="1" l="1"/>
  <c r="E407" i="1" l="1"/>
  <c r="F395" i="1" l="1"/>
  <c r="E401" i="1" l="1"/>
  <c r="F403" i="1" l="1"/>
  <c r="F394" i="1"/>
  <c r="F397" i="1" l="1"/>
  <c r="F396" i="1" l="1"/>
  <c r="E393" i="1" l="1"/>
  <c r="E389" i="1" l="1"/>
  <c r="E386" i="1" l="1"/>
  <c r="E364" i="1" l="1"/>
  <c r="E363" i="1"/>
  <c r="E367" i="1"/>
  <c r="E377" i="1" l="1"/>
  <c r="E371" i="1"/>
  <c r="I378" i="1" l="1"/>
  <c r="F384" i="1"/>
  <c r="F383" i="1"/>
  <c r="F381" i="1" l="1"/>
  <c r="F349" i="1" l="1"/>
  <c r="F353" i="1"/>
  <c r="F355" i="1"/>
  <c r="F348" i="1"/>
  <c r="F347" i="1"/>
  <c r="F339" i="1" l="1"/>
  <c r="F337" i="1" l="1"/>
  <c r="E335" i="1"/>
  <c r="F325" i="1" l="1"/>
  <c r="E324" i="1" l="1"/>
  <c r="E323" i="1"/>
  <c r="F313" i="1" l="1"/>
  <c r="F354" i="1" l="1"/>
  <c r="F352" i="1"/>
  <c r="F351" i="1"/>
  <c r="F350" i="1"/>
  <c r="E306" i="1" l="1"/>
  <c r="F298" i="1" l="1"/>
  <c r="F279" i="1" l="1"/>
  <c r="E287" i="1" l="1"/>
  <c r="E286" i="1"/>
  <c r="E297" i="1" l="1"/>
  <c r="E272" i="1"/>
  <c r="F282" i="1" l="1"/>
  <c r="F281" i="1" l="1"/>
  <c r="F280" i="1"/>
  <c r="F278" i="1"/>
  <c r="F277" i="1"/>
  <c r="F276" i="1"/>
  <c r="E258" i="1" l="1"/>
  <c r="E252" i="1"/>
  <c r="E249" i="1" l="1"/>
  <c r="F242" i="1" l="1"/>
  <c r="E238" i="1" l="1"/>
  <c r="E236" i="1"/>
  <c r="E232" i="1" l="1"/>
  <c r="F225" i="1" l="1"/>
  <c r="F221" i="1"/>
  <c r="E212" i="1" l="1"/>
  <c r="E211" i="1"/>
  <c r="E210" i="1"/>
  <c r="E229" i="1" l="1"/>
  <c r="E228" i="1"/>
  <c r="F213" i="1" l="1"/>
  <c r="E205" i="1" l="1"/>
  <c r="F223" i="1" l="1"/>
  <c r="F226" i="1"/>
  <c r="F227" i="1"/>
  <c r="F224" i="1"/>
  <c r="F222" i="1"/>
  <c r="E197" i="1" l="1"/>
  <c r="E194" i="1" l="1"/>
  <c r="F190" i="1" l="1"/>
  <c r="E187" i="1" l="1"/>
  <c r="E183" i="1"/>
  <c r="F178" i="1" l="1"/>
  <c r="F166" i="1" l="1"/>
  <c r="F169" i="1"/>
  <c r="F167" i="1"/>
  <c r="E177" i="1" l="1"/>
  <c r="E176" i="1"/>
  <c r="E163" i="1" l="1"/>
  <c r="E162" i="1"/>
  <c r="F172" i="1" l="1"/>
  <c r="F171" i="1" l="1"/>
  <c r="F170" i="1"/>
  <c r="F168" i="1"/>
  <c r="E126" i="1" l="1"/>
  <c r="E123" i="1"/>
  <c r="E122" i="1"/>
  <c r="F145" i="1" l="1"/>
  <c r="E149" i="1" l="1"/>
  <c r="E148" i="1"/>
  <c r="F140" i="1" l="1"/>
  <c r="F139" i="1"/>
  <c r="F141" i="1"/>
  <c r="E146" i="1" l="1"/>
  <c r="F147" i="1" l="1"/>
  <c r="F144" i="1"/>
  <c r="F132" i="1" l="1"/>
  <c r="F131" i="1"/>
  <c r="E137" i="1" l="1"/>
  <c r="E136" i="1"/>
  <c r="F143" i="1" l="1"/>
  <c r="F142" i="1"/>
  <c r="F138" i="1"/>
  <c r="E115" i="1" l="1"/>
  <c r="F90" i="1" l="1"/>
  <c r="F87" i="1"/>
  <c r="F97" i="1"/>
  <c r="E100" i="1" l="1"/>
  <c r="E95" i="1" l="1"/>
  <c r="E96" i="1" l="1"/>
  <c r="E84" i="1" l="1"/>
  <c r="E74" i="1"/>
  <c r="F86" i="1" l="1"/>
  <c r="F85" i="1"/>
  <c r="F91" i="1" l="1"/>
  <c r="F89" i="1"/>
  <c r="F88" i="1"/>
  <c r="E78" i="1" l="1"/>
  <c r="F77" i="1" l="1"/>
  <c r="E71" i="1" l="1"/>
  <c r="F63" i="1" l="1"/>
  <c r="F48" i="1" l="1"/>
  <c r="F47" i="1"/>
  <c r="F44" i="1" l="1"/>
  <c r="F43" i="1"/>
  <c r="F42" i="1"/>
  <c r="F38" i="1" l="1"/>
  <c r="F40" i="1"/>
  <c r="F35" i="1" l="1"/>
  <c r="F9" i="1" l="1"/>
  <c r="F7" i="1"/>
  <c r="G5" i="1" l="1"/>
  <c r="G6" i="1" s="1"/>
  <c r="G7" i="1" s="1"/>
  <c r="G8" i="1" s="1"/>
  <c r="G9" i="1" s="1"/>
  <c r="G10" i="1" s="1"/>
  <c r="G11" i="1" s="1"/>
  <c r="G12" i="1" s="1"/>
  <c r="G13" i="1" s="1"/>
  <c r="G14" i="1" s="1"/>
  <c r="G15" i="1" s="1"/>
  <c r="G16" i="1" s="1"/>
  <c r="G17" i="1" s="1"/>
  <c r="G18" i="1" s="1"/>
  <c r="G19" i="1" s="1"/>
  <c r="G20" i="1" s="1"/>
  <c r="G21" i="1" s="1"/>
  <c r="G22" i="1" s="1"/>
  <c r="G23" i="1" s="1"/>
  <c r="G24" i="1" s="1"/>
  <c r="G25" i="1" s="1"/>
  <c r="G26" i="1" s="1"/>
  <c r="G27" i="1" s="1"/>
  <c r="G28" i="1" s="1"/>
  <c r="G29" i="1" s="1"/>
  <c r="G32" i="1" s="1"/>
  <c r="G33" i="1" s="1"/>
  <c r="G34" i="1" s="1"/>
  <c r="G35" i="1" s="1"/>
  <c r="G36" i="1" s="1"/>
  <c r="G37" i="1" s="1"/>
  <c r="G38" i="1" s="1"/>
  <c r="G39" i="1" s="1"/>
  <c r="G40" i="1" s="1"/>
  <c r="G41" i="1" s="1"/>
  <c r="G42" i="1" s="1"/>
  <c r="G43" i="1" s="1"/>
  <c r="G44" i="1" s="1"/>
  <c r="G45" i="1" s="1"/>
  <c r="G46" i="1" s="1"/>
  <c r="G47" i="1" s="1"/>
  <c r="G48" i="1" s="1"/>
  <c r="G49" i="1" s="1"/>
  <c r="G50" i="1" s="1"/>
  <c r="G51" i="1" s="1"/>
  <c r="G52" i="1" s="1"/>
  <c r="G53" i="1" s="1"/>
  <c r="G54" i="1" s="1"/>
  <c r="G55" i="1" s="1"/>
  <c r="G58" i="1" s="1"/>
  <c r="G59" i="1" s="1"/>
  <c r="G60" i="1" s="1"/>
  <c r="G61" i="1" s="1"/>
  <c r="G62" i="1" s="1"/>
  <c r="G63" i="1" s="1"/>
  <c r="G64" i="1" s="1"/>
  <c r="G65" i="1" s="1"/>
  <c r="G66" i="1" s="1"/>
  <c r="G67" i="1" s="1"/>
  <c r="G68" i="1" s="1"/>
  <c r="G69" i="1" s="1"/>
  <c r="G70" i="1" s="1"/>
  <c r="G71" i="1" s="1"/>
  <c r="G72" i="1" s="1"/>
  <c r="G73" i="1" s="1"/>
  <c r="G74" i="1" s="1"/>
  <c r="G75" i="1" s="1"/>
  <c r="G76" i="1" s="1"/>
  <c r="G77" i="1" s="1"/>
  <c r="G78" i="1" s="1"/>
  <c r="G79" i="1" s="1"/>
  <c r="G80" i="1" s="1"/>
  <c r="G81" i="1" s="1"/>
  <c r="G82" i="1" s="1"/>
  <c r="G83" i="1" s="1"/>
  <c r="G84" i="1" s="1"/>
  <c r="G85" i="1" s="1"/>
  <c r="G86" i="1" s="1"/>
  <c r="G87" i="1" s="1"/>
  <c r="G88" i="1" s="1"/>
  <c r="G89" i="1" s="1"/>
  <c r="G90" i="1" s="1"/>
  <c r="G91" i="1" s="1"/>
  <c r="G92" i="1" s="1"/>
  <c r="G93" i="1" s="1"/>
  <c r="G94" i="1" s="1"/>
  <c r="G95" i="1" s="1"/>
  <c r="G96" i="1" s="1"/>
  <c r="G97" i="1" s="1"/>
  <c r="G98" i="1" s="1"/>
  <c r="G99" i="1" s="1"/>
  <c r="G100" i="1" l="1"/>
  <c r="G101" i="1" s="1"/>
  <c r="G102" i="1" s="1"/>
  <c r="G103" i="1" s="1"/>
  <c r="G104" i="1" s="1"/>
  <c r="G105" i="1" s="1"/>
  <c r="G108" i="1" s="1"/>
  <c r="G109" i="1" s="1"/>
  <c r="G110" i="1" s="1"/>
  <c r="G111" i="1" s="1"/>
  <c r="G112" i="1" s="1"/>
  <c r="G113" i="1" s="1"/>
  <c r="G114" i="1" s="1"/>
  <c r="G115" i="1" s="1"/>
  <c r="G116" i="1" s="1"/>
  <c r="G117" i="1" s="1"/>
  <c r="G118" i="1" s="1"/>
  <c r="G119" i="1" s="1"/>
  <c r="G120" i="1" s="1"/>
  <c r="G121" i="1" s="1"/>
  <c r="G122" i="1" s="1"/>
  <c r="G123" i="1" s="1"/>
  <c r="G124" i="1" s="1"/>
  <c r="G125" i="1" s="1"/>
  <c r="G126" i="1" s="1"/>
  <c r="G127" i="1" s="1"/>
  <c r="G128" i="1" s="1"/>
  <c r="G129" i="1" s="1"/>
  <c r="G130" i="1" s="1"/>
  <c r="G131" i="1" s="1"/>
  <c r="G132" i="1" s="1"/>
  <c r="G133" i="1" s="1"/>
  <c r="G134" i="1" l="1"/>
  <c r="G135" i="1" s="1"/>
  <c r="G136" i="1" s="1"/>
  <c r="G137" i="1" s="1"/>
  <c r="G138" i="1" s="1"/>
  <c r="G139" i="1" s="1"/>
  <c r="G140" i="1" s="1"/>
  <c r="G141" i="1" s="1"/>
  <c r="G142" i="1" s="1"/>
  <c r="G143" i="1" l="1"/>
  <c r="G144" i="1" s="1"/>
  <c r="G145" i="1" s="1"/>
  <c r="G146" i="1" s="1"/>
  <c r="G147" i="1" s="1"/>
  <c r="G148" i="1" s="1"/>
  <c r="G149" i="1" s="1"/>
  <c r="G150" i="1" s="1"/>
  <c r="G151" i="1" s="1"/>
  <c r="G152" i="1" s="1"/>
  <c r="G153" i="1" s="1"/>
  <c r="G154" i="1" s="1"/>
  <c r="G155" i="1" s="1"/>
  <c r="G156" i="1" s="1"/>
  <c r="G157" i="1" s="1"/>
  <c r="G158" i="1" s="1"/>
  <c r="G159" i="1" s="1"/>
  <c r="G162" i="1" l="1"/>
  <c r="G163" i="1" s="1"/>
  <c r="G164" i="1" s="1"/>
  <c r="G165" i="1" s="1"/>
  <c r="G166" i="1" s="1"/>
  <c r="G167" i="1" s="1"/>
  <c r="G168" i="1" s="1"/>
  <c r="G169" i="1" s="1"/>
  <c r="G170" i="1" s="1"/>
  <c r="G171" i="1" s="1"/>
  <c r="G172" i="1" s="1"/>
  <c r="G173" i="1" s="1"/>
  <c r="G174" i="1" s="1"/>
  <c r="G175" i="1" s="1"/>
  <c r="G176" i="1" l="1"/>
  <c r="G177" i="1" s="1"/>
  <c r="G178" i="1" s="1"/>
  <c r="G179" i="1" s="1"/>
  <c r="G180" i="1" s="1"/>
  <c r="G181" i="1" s="1"/>
  <c r="G182" i="1" s="1"/>
  <c r="G183" i="1" s="1"/>
  <c r="G184" i="1" s="1"/>
  <c r="G185" i="1" s="1"/>
  <c r="G186" i="1" s="1"/>
  <c r="G187" i="1" s="1"/>
  <c r="G188" i="1" s="1"/>
  <c r="G189" i="1" s="1"/>
  <c r="G190" i="1" s="1"/>
  <c r="G191" i="1" s="1"/>
  <c r="G192" i="1" s="1"/>
  <c r="G193" i="1" s="1"/>
  <c r="G194" i="1" s="1"/>
  <c r="G195" i="1" s="1"/>
  <c r="G196" i="1" s="1"/>
  <c r="G197" i="1" s="1"/>
  <c r="G198" i="1" s="1"/>
  <c r="G199" i="1" s="1"/>
  <c r="I175" i="1"/>
  <c r="G200" i="1" l="1"/>
  <c r="G201" i="1" s="1"/>
  <c r="G202" i="1" s="1"/>
  <c r="G205" i="1" s="1"/>
  <c r="G206" i="1" s="1"/>
  <c r="G207" i="1" s="1"/>
  <c r="G208" i="1" s="1"/>
  <c r="G209" i="1" s="1"/>
  <c r="G210" i="1" s="1"/>
  <c r="G211" i="1" s="1"/>
  <c r="G212" i="1" s="1"/>
  <c r="G213" i="1" s="1"/>
  <c r="G214" i="1" s="1"/>
  <c r="G215" i="1" s="1"/>
  <c r="G216" i="1" s="1"/>
  <c r="G217" i="1" s="1"/>
  <c r="G218" i="1" s="1"/>
  <c r="G219" i="1" s="1"/>
  <c r="G220" i="1" s="1"/>
  <c r="G221" i="1" s="1"/>
  <c r="G222" i="1" s="1"/>
  <c r="G223" i="1" s="1"/>
  <c r="G224" i="1" s="1"/>
  <c r="G225" i="1" s="1"/>
  <c r="G226" i="1" s="1"/>
  <c r="G227" i="1" s="1"/>
  <c r="G228" i="1" s="1"/>
  <c r="G229" i="1" s="1"/>
  <c r="G230" i="1" s="1"/>
  <c r="G231" i="1" s="1"/>
  <c r="G232" i="1" s="1"/>
  <c r="G233" i="1" s="1"/>
  <c r="G234" i="1" s="1"/>
  <c r="G235" i="1" s="1"/>
  <c r="G236" i="1" s="1"/>
  <c r="G237" i="1" s="1"/>
  <c r="G238" i="1" s="1"/>
  <c r="G239" i="1" s="1"/>
  <c r="G240" i="1" s="1"/>
  <c r="G241" i="1" s="1"/>
  <c r="G242" i="1" s="1"/>
  <c r="G243" i="1" s="1"/>
  <c r="G244" i="1" s="1"/>
  <c r="G245" i="1" s="1"/>
  <c r="G246" i="1" s="1"/>
  <c r="G247" i="1" s="1"/>
  <c r="G248" i="1" l="1"/>
  <c r="G249" i="1" s="1"/>
  <c r="G250" i="1" s="1"/>
  <c r="G251" i="1" s="1"/>
  <c r="G252" i="1" s="1"/>
  <c r="G253" i="1" s="1"/>
  <c r="G254" i="1" s="1"/>
  <c r="G255" i="1" s="1"/>
  <c r="G256" i="1" s="1"/>
  <c r="G257" i="1" s="1"/>
  <c r="G258" i="1" s="1"/>
  <c r="G261" i="1" s="1"/>
  <c r="G262" i="1" s="1"/>
  <c r="G263" i="1" s="1"/>
  <c r="G264" i="1" s="1"/>
  <c r="G265" i="1" s="1"/>
  <c r="G266" i="1" s="1"/>
  <c r="G267" i="1" s="1"/>
  <c r="G268" i="1" s="1"/>
  <c r="G269" i="1" s="1"/>
  <c r="G270" i="1" s="1"/>
  <c r="G271" i="1" s="1"/>
  <c r="G272" i="1" s="1"/>
  <c r="G273" i="1" s="1"/>
  <c r="G274" i="1" s="1"/>
  <c r="G275" i="1" s="1"/>
  <c r="G276" i="1" s="1"/>
  <c r="G277" i="1" s="1"/>
  <c r="G278" i="1" s="1"/>
  <c r="G279" i="1" s="1"/>
  <c r="G280" i="1" s="1"/>
  <c r="G281" i="1" s="1"/>
  <c r="G282" i="1" s="1"/>
  <c r="G283" i="1" s="1"/>
  <c r="G284" i="1" s="1"/>
  <c r="G285" i="1" s="1"/>
  <c r="G286" i="1" s="1"/>
  <c r="G287" i="1" s="1"/>
  <c r="G288" i="1" s="1"/>
  <c r="G289" i="1" s="1"/>
  <c r="G290" i="1" s="1"/>
  <c r="G291" i="1" s="1"/>
  <c r="G292" i="1" s="1"/>
  <c r="G293" i="1" s="1"/>
  <c r="G294" i="1" s="1"/>
  <c r="G295" i="1" s="1"/>
  <c r="G296" i="1" s="1"/>
  <c r="G297" i="1" s="1"/>
  <c r="G298" i="1" s="1"/>
  <c r="G299" i="1" s="1"/>
  <c r="G300" i="1" s="1"/>
  <c r="G301" i="1" s="1"/>
  <c r="G302" i="1" s="1"/>
  <c r="G303" i="1" s="1"/>
  <c r="G304" i="1" s="1"/>
  <c r="G305" i="1" s="1"/>
  <c r="G306" i="1" s="1"/>
  <c r="G307" i="1" s="1"/>
  <c r="G308" i="1" s="1"/>
  <c r="G309" i="1" s="1"/>
  <c r="G310" i="1" s="1"/>
  <c r="G311" i="1" s="1"/>
  <c r="G312" i="1" s="1"/>
  <c r="G313" i="1" s="1"/>
  <c r="G314" i="1" s="1"/>
  <c r="G315" i="1" s="1"/>
  <c r="G316" i="1" s="1"/>
  <c r="G317" i="1" s="1"/>
  <c r="G318" i="1" s="1"/>
  <c r="G319" i="1" s="1"/>
  <c r="G320" i="1" s="1"/>
  <c r="G321" i="1" s="1"/>
  <c r="G322" i="1" s="1"/>
  <c r="G323" i="1" s="1"/>
  <c r="G324" i="1" s="1"/>
  <c r="G325" i="1" s="1"/>
  <c r="G326" i="1" s="1"/>
  <c r="G327" i="1" s="1"/>
  <c r="G328" i="1" s="1"/>
  <c r="G329" i="1" s="1"/>
  <c r="G330" i="1" s="1"/>
  <c r="G333" i="1" s="1"/>
  <c r="G334" i="1" s="1"/>
  <c r="G335" i="1" s="1"/>
  <c r="G336" i="1" s="1"/>
  <c r="G337" i="1" s="1"/>
  <c r="G338" i="1" s="1"/>
  <c r="G339" i="1" s="1"/>
  <c r="G340" i="1" s="1"/>
  <c r="G341" i="1" s="1"/>
  <c r="G342" i="1" s="1"/>
  <c r="G343" i="1" s="1"/>
  <c r="G344" i="1" s="1"/>
  <c r="G345" i="1" s="1"/>
  <c r="G346" i="1" s="1"/>
  <c r="G347" i="1" s="1"/>
  <c r="G348" i="1" s="1"/>
  <c r="G349" i="1" s="1"/>
  <c r="G350" i="1" s="1"/>
  <c r="G351" i="1" s="1"/>
  <c r="G352" i="1" s="1"/>
  <c r="G353" i="1" s="1"/>
  <c r="G354" i="1" s="1"/>
  <c r="G355" i="1" s="1"/>
  <c r="G356" i="1" s="1"/>
  <c r="G357" i="1" s="1"/>
  <c r="G358" i="1" s="1"/>
  <c r="G359" i="1" s="1"/>
  <c r="G360" i="1" s="1"/>
  <c r="G361" i="1" s="1"/>
  <c r="G362" i="1" s="1"/>
  <c r="G363" i="1" s="1"/>
  <c r="G364" i="1" s="1"/>
  <c r="G365" i="1" s="1"/>
  <c r="G366" i="1" s="1"/>
  <c r="G367" i="1" s="1"/>
  <c r="G368" i="1" s="1"/>
  <c r="G369" i="1" s="1"/>
  <c r="G370" i="1" s="1"/>
  <c r="G371" i="1" s="1"/>
  <c r="G372" i="1" s="1"/>
  <c r="G373" i="1" s="1"/>
  <c r="G374" i="1" s="1"/>
  <c r="G375" i="1" s="1"/>
  <c r="G376" i="1" s="1"/>
  <c r="G377" i="1" s="1"/>
  <c r="G378" i="1" s="1"/>
  <c r="G381" i="1" s="1"/>
  <c r="G382" i="1" s="1"/>
  <c r="G383" i="1" s="1"/>
  <c r="G384" i="1" s="1"/>
  <c r="G385" i="1" l="1"/>
  <c r="G386" i="1" s="1"/>
  <c r="G387" i="1" s="1"/>
  <c r="G388" i="1" s="1"/>
  <c r="G389" i="1" s="1"/>
  <c r="G390" i="1" s="1"/>
  <c r="G391" i="1" s="1"/>
  <c r="G392" i="1" s="1"/>
  <c r="G393" i="1" s="1"/>
  <c r="G394" i="1" s="1"/>
  <c r="G395" i="1" s="1"/>
  <c r="G396" i="1" s="1"/>
  <c r="G397" i="1" s="1"/>
  <c r="G398" i="1" l="1"/>
  <c r="G399" i="1" s="1"/>
  <c r="G400" i="1" s="1"/>
  <c r="G401" i="1" s="1"/>
  <c r="G402" i="1" s="1"/>
  <c r="G403" i="1" s="1"/>
  <c r="G404" i="1" s="1"/>
  <c r="G405" i="1" s="1"/>
  <c r="G406" i="1" s="1"/>
  <c r="G407" i="1" l="1"/>
  <c r="G408" i="1" s="1"/>
  <c r="G409" i="1" s="1"/>
  <c r="G410" i="1" s="1"/>
  <c r="G411" i="1" s="1"/>
  <c r="G412" i="1" s="1"/>
  <c r="G413" i="1" s="1"/>
  <c r="G414" i="1" s="1"/>
  <c r="G415" i="1" s="1"/>
  <c r="G416" i="1" s="1"/>
  <c r="G417" i="1" s="1"/>
  <c r="G418" i="1" s="1"/>
  <c r="G419" i="1" s="1"/>
  <c r="G420" i="1" s="1"/>
  <c r="G421" i="1" s="1"/>
  <c r="G422" i="1" s="1"/>
  <c r="G423" i="1" s="1"/>
  <c r="G424" i="1" s="1"/>
  <c r="G425" i="1" s="1"/>
  <c r="G426" i="1" s="1"/>
  <c r="G427" i="1" s="1"/>
  <c r="G430" i="1" l="1"/>
  <c r="G431" i="1" s="1"/>
  <c r="G432" i="1" l="1"/>
  <c r="G433" i="1" s="1"/>
  <c r="G434" i="1" s="1"/>
  <c r="G435" i="1" s="1"/>
  <c r="G436" i="1" s="1"/>
  <c r="G437" i="1" s="1"/>
  <c r="G438" i="1" s="1"/>
  <c r="G439" i="1" s="1"/>
  <c r="G440" i="1" s="1"/>
  <c r="G441" i="1" s="1"/>
  <c r="G442" i="1" s="1"/>
  <c r="G443" i="1" s="1"/>
  <c r="G444" i="1" s="1"/>
  <c r="G445" i="1" s="1"/>
  <c r="G446" i="1" s="1"/>
  <c r="G447" i="1" s="1"/>
  <c r="G448" i="1" s="1"/>
  <c r="G449" i="1" s="1"/>
  <c r="G450" i="1" s="1"/>
  <c r="G451" i="1" s="1"/>
  <c r="G452" i="1" s="1"/>
  <c r="G453" i="1" s="1"/>
  <c r="G454" i="1" s="1"/>
  <c r="G455" i="1" s="1"/>
  <c r="G456" i="1" s="1"/>
  <c r="G457" i="1" s="1"/>
  <c r="G458" i="1" l="1"/>
  <c r="G459" i="1" s="1"/>
  <c r="G460" i="1" s="1"/>
  <c r="G461" i="1" s="1"/>
  <c r="G462" i="1" l="1"/>
  <c r="G463" i="1" s="1"/>
  <c r="G464" i="1" s="1"/>
  <c r="G465" i="1" s="1"/>
  <c r="G466" i="1" s="1"/>
  <c r="G467" i="1" s="1"/>
  <c r="G468" i="1" s="1"/>
  <c r="G469" i="1" s="1"/>
  <c r="G470" i="1" s="1"/>
  <c r="G471" i="1" s="1"/>
  <c r="G472" i="1" s="1"/>
  <c r="G473" i="1" s="1"/>
  <c r="G474" i="1" s="1"/>
  <c r="G475" i="1" s="1"/>
  <c r="G476" i="1" s="1"/>
  <c r="G477" i="1" s="1"/>
  <c r="G478" i="1" s="1"/>
  <c r="G479" i="1" s="1"/>
  <c r="G480" i="1" s="1"/>
  <c r="G481" i="1" s="1"/>
  <c r="G484" i="1" s="1"/>
  <c r="G485" i="1" s="1"/>
  <c r="G486" i="1" s="1"/>
  <c r="G487" i="1" s="1"/>
  <c r="G488" i="1" l="1"/>
  <c r="G489" i="1" s="1"/>
  <c r="G490" i="1" s="1"/>
  <c r="G491" i="1" s="1"/>
  <c r="G492" i="1" s="1"/>
  <c r="G493" i="1" s="1"/>
  <c r="G494" i="1" s="1"/>
  <c r="G495" i="1" s="1"/>
  <c r="G496" i="1" s="1"/>
  <c r="G497" i="1" s="1"/>
  <c r="G498" i="1" s="1"/>
  <c r="G499" i="1" s="1"/>
  <c r="G500" i="1" s="1"/>
  <c r="G501" i="1" s="1"/>
  <c r="G502" i="1" s="1"/>
  <c r="G503" i="1" s="1"/>
  <c r="G504" i="1" s="1"/>
  <c r="G505" i="1" s="1"/>
  <c r="G506" i="1" s="1"/>
  <c r="G507" i="1" s="1"/>
  <c r="G508" i="1" s="1"/>
  <c r="G509" i="1" s="1"/>
  <c r="G510" i="1" s="1"/>
  <c r="G511" i="1" s="1"/>
  <c r="G512" i="1" s="1"/>
  <c r="G513" i="1" s="1"/>
  <c r="G514" i="1" s="1"/>
  <c r="G515" i="1" s="1"/>
  <c r="G516" i="1" s="1"/>
  <c r="G517" i="1" s="1"/>
  <c r="G518" i="1" s="1"/>
  <c r="G519" i="1" s="1"/>
  <c r="G520" i="1" s="1"/>
  <c r="G521" i="1" s="1"/>
  <c r="G522" i="1" s="1"/>
  <c r="G523" i="1" l="1"/>
  <c r="G524" i="1" s="1"/>
  <c r="G527" i="1" s="1"/>
  <c r="G528" i="1" s="1"/>
  <c r="G529" i="1" s="1"/>
  <c r="G530" i="1" s="1"/>
  <c r="G531" i="1" s="1"/>
  <c r="G532" i="1" s="1"/>
  <c r="G533" i="1" s="1"/>
  <c r="G534" i="1" s="1"/>
  <c r="G535" i="1" s="1"/>
  <c r="G536" i="1" s="1"/>
  <c r="G537" i="1" l="1"/>
  <c r="G538" i="1" s="1"/>
  <c r="G539" i="1" s="1"/>
  <c r="G540" i="1" s="1"/>
  <c r="G541" i="1" s="1"/>
  <c r="G542" i="1" l="1"/>
  <c r="G543" i="1" s="1"/>
  <c r="G544" i="1" s="1"/>
  <c r="G545" i="1" s="1"/>
  <c r="G546" i="1" s="1"/>
  <c r="G547" i="1" s="1"/>
  <c r="G548" i="1" s="1"/>
  <c r="G549" i="1" s="1"/>
  <c r="G550" i="1" s="1"/>
  <c r="G551" i="1" s="1"/>
  <c r="G552" i="1" s="1"/>
  <c r="G553" i="1" s="1"/>
  <c r="G554" i="1" s="1"/>
  <c r="G555" i="1" s="1"/>
  <c r="G556" i="1" s="1"/>
  <c r="G557" i="1" s="1"/>
  <c r="G558" i="1" s="1"/>
  <c r="G559" i="1" s="1"/>
  <c r="G560" i="1" s="1"/>
  <c r="G561" i="1" s="1"/>
  <c r="G562" i="1" s="1"/>
  <c r="G563" i="1" s="1"/>
  <c r="G564" i="1" s="1"/>
  <c r="G565" i="1" s="1"/>
  <c r="G566" i="1" s="1"/>
  <c r="G567" i="1" s="1"/>
  <c r="G568" i="1" s="1"/>
  <c r="G569" i="1" s="1"/>
  <c r="G570" i="1" s="1"/>
  <c r="G571" i="1" s="1"/>
  <c r="G572" i="1" s="1"/>
  <c r="G573" i="1" s="1"/>
  <c r="G574" i="1" s="1"/>
  <c r="G575" i="1" s="1"/>
  <c r="G576" i="1" l="1"/>
  <c r="G577" i="1" s="1"/>
  <c r="G580" i="1" l="1"/>
  <c r="G581" i="1" s="1"/>
  <c r="G582" i="1" s="1"/>
  <c r="G583" i="1" s="1"/>
  <c r="G584" i="1" s="1"/>
  <c r="G585" i="1" s="1"/>
  <c r="G586" i="1" s="1"/>
  <c r="G587" i="1" s="1"/>
  <c r="G588" i="1" s="1"/>
  <c r="G589" i="1" s="1"/>
  <c r="G590" i="1" s="1"/>
  <c r="G591" i="1" s="1"/>
  <c r="G592" i="1" s="1"/>
  <c r="G593" i="1" s="1"/>
  <c r="G594" i="1" s="1"/>
  <c r="G595" i="1" s="1"/>
  <c r="G596" i="1" s="1"/>
  <c r="G597" i="1" s="1"/>
  <c r="G598" i="1" s="1"/>
  <c r="G599" i="1" s="1"/>
  <c r="G600" i="1" s="1"/>
  <c r="G601" i="1" s="1"/>
  <c r="G602" i="1" s="1"/>
  <c r="G603" i="1" l="1"/>
  <c r="G604" i="1" s="1"/>
  <c r="G605" i="1" s="1"/>
  <c r="G606" i="1" s="1"/>
  <c r="G607" i="1" s="1"/>
  <c r="G608" i="1" s="1"/>
  <c r="G609" i="1" s="1"/>
  <c r="G610" i="1" s="1"/>
  <c r="G611" i="1" s="1"/>
  <c r="G612" i="1" s="1"/>
  <c r="G613" i="1" s="1"/>
  <c r="G614" i="1" s="1"/>
  <c r="G615" i="1" s="1"/>
  <c r="G616" i="1" s="1"/>
  <c r="G617" i="1" s="1"/>
  <c r="G618" i="1" s="1"/>
  <c r="G619" i="1" s="1"/>
  <c r="G620" i="1" s="1"/>
  <c r="G621" i="1" s="1"/>
  <c r="G622" i="1" s="1"/>
  <c r="G625" i="1" s="1"/>
  <c r="G626" i="1" s="1"/>
  <c r="G627" i="1" s="1"/>
  <c r="G628" i="1" s="1"/>
  <c r="G629" i="1" s="1"/>
  <c r="G630" i="1" l="1"/>
  <c r="G631" i="1" s="1"/>
  <c r="G632" i="1" l="1"/>
  <c r="G633" i="1" s="1"/>
  <c r="G634" i="1" s="1"/>
  <c r="G635" i="1" s="1"/>
  <c r="G636" i="1" s="1"/>
  <c r="G637" i="1" s="1"/>
  <c r="G638" i="1" s="1"/>
  <c r="G639" i="1" s="1"/>
  <c r="G640" i="1" s="1"/>
  <c r="G641" i="1" s="1"/>
  <c r="G642" i="1" s="1"/>
  <c r="G643" i="1" s="1"/>
  <c r="G644" i="1" s="1"/>
  <c r="G645" i="1" s="1"/>
  <c r="G646" i="1" s="1"/>
  <c r="G647" i="1" s="1"/>
  <c r="G648" i="1" s="1"/>
  <c r="G649" i="1" s="1"/>
  <c r="G650" i="1" s="1"/>
  <c r="G651" i="1" s="1"/>
  <c r="G652" i="1" s="1"/>
  <c r="G653" i="1" s="1"/>
  <c r="G654" i="1" s="1"/>
  <c r="G655" i="1" s="1"/>
  <c r="G656" i="1" s="1"/>
  <c r="G657" i="1" s="1"/>
  <c r="G658" i="1" s="1"/>
  <c r="G659" i="1" s="1"/>
  <c r="G660" i="1" s="1"/>
  <c r="G661" i="1" s="1"/>
  <c r="G662" i="1" s="1"/>
  <c r="G663" i="1" s="1"/>
  <c r="G664" i="1" s="1"/>
  <c r="G665" i="1" s="1"/>
  <c r="G666" i="1" s="1"/>
  <c r="G667" i="1" s="1"/>
  <c r="G668" i="1" s="1"/>
  <c r="G669" i="1" s="1"/>
  <c r="G670" i="1" s="1"/>
  <c r="G671" i="1" s="1"/>
  <c r="G672" i="1" s="1"/>
  <c r="G673" i="1" s="1"/>
  <c r="G674" i="1" s="1"/>
  <c r="G675" i="1" s="1"/>
  <c r="G678" i="1" s="1"/>
  <c r="G679" i="1" s="1"/>
  <c r="G680" i="1" s="1"/>
  <c r="G681" i="1" s="1"/>
  <c r="G682" i="1" s="1"/>
  <c r="G683" i="1" s="1"/>
  <c r="G684" i="1" s="1"/>
  <c r="G685" i="1" s="1"/>
  <c r="G686" i="1" s="1"/>
  <c r="G687" i="1" s="1"/>
  <c r="G688" i="1" s="1"/>
  <c r="G689" i="1" l="1"/>
  <c r="G690" i="1" s="1"/>
  <c r="G691" i="1" s="1"/>
  <c r="G692" i="1" s="1"/>
  <c r="G693" i="1" s="1"/>
  <c r="G694" i="1" s="1"/>
  <c r="G695" i="1" s="1"/>
  <c r="G696" i="1" s="1"/>
  <c r="G697" i="1" s="1"/>
  <c r="G698" i="1" s="1"/>
  <c r="G699" i="1" s="1"/>
  <c r="G700" i="1" s="1"/>
  <c r="G701" i="1" s="1"/>
  <c r="G702" i="1" s="1"/>
  <c r="G703" i="1" s="1"/>
  <c r="G704" i="1" l="1"/>
  <c r="G705" i="1" l="1"/>
  <c r="G706" i="1" s="1"/>
  <c r="G707" i="1" s="1"/>
  <c r="G708" i="1" s="1"/>
  <c r="G709" i="1" s="1"/>
  <c r="G710" i="1" s="1"/>
  <c r="G711" i="1" s="1"/>
  <c r="G712" i="1" s="1"/>
  <c r="G713" i="1" s="1"/>
  <c r="G714" i="1" s="1"/>
  <c r="G715" i="1" s="1"/>
  <c r="G716" i="1" s="1"/>
  <c r="G717" i="1" s="1"/>
  <c r="G718" i="1" s="1"/>
  <c r="G719" i="1" s="1"/>
  <c r="G720" i="1" s="1"/>
  <c r="G721" i="1" s="1"/>
  <c r="G722" i="1" s="1"/>
  <c r="G723" i="1" s="1"/>
  <c r="G724" i="1" s="1"/>
  <c r="G725" i="1" s="1"/>
  <c r="G726" i="1" s="1"/>
  <c r="G727" i="1" s="1"/>
  <c r="G728" i="1" l="1"/>
  <c r="G729" i="1" s="1"/>
  <c r="G730" i="1" s="1"/>
  <c r="G731" i="1" s="1"/>
  <c r="G734" i="1" s="1"/>
  <c r="G735" i="1" s="1"/>
  <c r="G736" i="1" s="1"/>
  <c r="G737" i="1" s="1"/>
  <c r="G738" i="1" s="1"/>
  <c r="G739" i="1" s="1"/>
  <c r="G740" i="1" s="1"/>
  <c r="G741" i="1" s="1"/>
  <c r="G742" i="1" s="1"/>
  <c r="G743" i="1" s="1"/>
  <c r="G744" i="1" s="1"/>
  <c r="G745" i="1" s="1"/>
  <c r="G746" i="1" s="1"/>
  <c r="G747" i="1" s="1"/>
  <c r="G748" i="1" s="1"/>
  <c r="G749" i="1" s="1"/>
  <c r="G750" i="1" s="1"/>
  <c r="G751" i="1" s="1"/>
  <c r="G752" i="1" s="1"/>
  <c r="G753" i="1" s="1"/>
  <c r="G754" i="1" s="1"/>
  <c r="G755" i="1" s="1"/>
  <c r="G756" i="1" s="1"/>
  <c r="G757" i="1" s="1"/>
  <c r="G758" i="1" s="1"/>
  <c r="G759" i="1" s="1"/>
  <c r="G760" i="1" s="1"/>
  <c r="G761" i="1" s="1"/>
  <c r="G762" i="1" s="1"/>
  <c r="G763" i="1" s="1"/>
  <c r="G764" i="1" s="1"/>
  <c r="G765" i="1" s="1"/>
  <c r="G766" i="1" s="1"/>
  <c r="G767" i="1" s="1"/>
  <c r="G768" i="1" s="1"/>
  <c r="G769" i="1" s="1"/>
  <c r="G770" i="1" l="1"/>
  <c r="G771" i="1" s="1"/>
  <c r="G772" i="1" s="1"/>
  <c r="G773" i="1" s="1"/>
  <c r="G774" i="1" s="1"/>
  <c r="G775" i="1" s="1"/>
  <c r="G776" i="1" s="1"/>
  <c r="G777" i="1" s="1"/>
  <c r="G778" i="1" s="1"/>
  <c r="G779" i="1" s="1"/>
  <c r="G780" i="1" s="1"/>
  <c r="G781" i="1" s="1"/>
  <c r="G784" i="1" l="1"/>
  <c r="G785" i="1" s="1"/>
  <c r="G786" i="1" s="1"/>
  <c r="G787" i="1" s="1"/>
  <c r="G788" i="1" s="1"/>
  <c r="G789" i="1" s="1"/>
  <c r="G790" i="1" s="1"/>
  <c r="G791" i="1" s="1"/>
  <c r="G792" i="1" s="1"/>
  <c r="G793" i="1" s="1"/>
  <c r="G794" i="1" s="1"/>
  <c r="G795" i="1" s="1"/>
  <c r="G796" i="1" s="1"/>
  <c r="G797" i="1" s="1"/>
  <c r="G798" i="1" s="1"/>
  <c r="G799" i="1" s="1"/>
  <c r="G800" i="1" s="1"/>
  <c r="G801" i="1" s="1"/>
  <c r="G802" i="1" s="1"/>
  <c r="G803" i="1" s="1"/>
  <c r="G804" i="1" s="1"/>
  <c r="G805" i="1" s="1"/>
  <c r="G806" i="1" s="1"/>
  <c r="G807" i="1" s="1"/>
  <c r="G808" i="1" s="1"/>
  <c r="G809" i="1" s="1"/>
  <c r="G810" i="1" s="1"/>
  <c r="G811" i="1" s="1"/>
  <c r="G812" i="1" s="1"/>
  <c r="G813" i="1" s="1"/>
  <c r="G814" i="1" s="1"/>
  <c r="G815" i="1" s="1"/>
  <c r="G816" i="1" l="1"/>
  <c r="G817" i="1" s="1"/>
  <c r="G818" i="1" s="1"/>
  <c r="G819" i="1" s="1"/>
  <c r="G820" i="1" s="1"/>
  <c r="G821" i="1" s="1"/>
  <c r="G822" i="1" s="1"/>
  <c r="G823" i="1" s="1"/>
  <c r="G824" i="1" s="1"/>
  <c r="G825" i="1" l="1"/>
  <c r="G826" i="1" s="1"/>
  <c r="G829" i="1" s="1"/>
  <c r="G830" i="1" s="1"/>
  <c r="G831" i="1" s="1"/>
  <c r="G832" i="1" s="1"/>
  <c r="G833" i="1" s="1"/>
  <c r="G834" i="1" s="1"/>
  <c r="G835" i="1" s="1"/>
  <c r="G836" i="1" s="1"/>
  <c r="G837" i="1" s="1"/>
  <c r="G838" i="1" l="1"/>
  <c r="G839" i="1" s="1"/>
  <c r="G840" i="1" l="1"/>
  <c r="G841" i="1" s="1"/>
  <c r="G842" i="1" s="1"/>
  <c r="G843" i="1" s="1"/>
  <c r="G844" i="1" s="1"/>
  <c r="G845" i="1" s="1"/>
  <c r="G846" i="1" s="1"/>
  <c r="G847" i="1" s="1"/>
  <c r="G848" i="1" l="1"/>
  <c r="G849" i="1" s="1"/>
  <c r="G850" i="1" l="1"/>
  <c r="G851" i="1" s="1"/>
  <c r="G852" i="1" s="1"/>
  <c r="G853" i="1" s="1"/>
  <c r="G854" i="1" s="1"/>
  <c r="G855" i="1" s="1"/>
  <c r="G856" i="1" s="1"/>
  <c r="G857" i="1" s="1"/>
  <c r="G858" i="1" s="1"/>
  <c r="G859" i="1" l="1"/>
  <c r="G860" i="1" s="1"/>
  <c r="G861" i="1" s="1"/>
  <c r="G862" i="1" s="1"/>
  <c r="G863" i="1" s="1"/>
  <c r="G864" i="1" s="1"/>
  <c r="G865" i="1" s="1"/>
  <c r="G866" i="1" s="1"/>
  <c r="G867" i="1" s="1"/>
  <c r="G868" i="1" s="1"/>
  <c r="G869" i="1" s="1"/>
  <c r="G870" i="1" s="1"/>
  <c r="G871" i="1" s="1"/>
  <c r="G872" i="1" s="1"/>
  <c r="G873" i="1" s="1"/>
  <c r="G874" i="1" s="1"/>
  <c r="G875" i="1" s="1"/>
  <c r="G876" i="1" l="1"/>
  <c r="G878" i="1" s="1"/>
  <c r="G879" i="1" s="1"/>
  <c r="G880" i="1" s="1"/>
  <c r="G881" i="1" s="1"/>
  <c r="G882" i="1" s="1"/>
  <c r="G883" i="1" s="1"/>
  <c r="G884" i="1" s="1"/>
  <c r="G885" i="1" s="1"/>
  <c r="G886" i="1" s="1"/>
  <c r="G887" i="1" s="1"/>
  <c r="G888" i="1" s="1"/>
  <c r="G889" i="1" s="1"/>
  <c r="G890" i="1" s="1"/>
  <c r="G891" i="1" s="1"/>
  <c r="G892" i="1" s="1"/>
  <c r="G893" i="1" s="1"/>
  <c r="G894" i="1" s="1"/>
  <c r="G895" i="1" s="1"/>
  <c r="G896" i="1" s="1"/>
  <c r="G897" i="1" s="1"/>
  <c r="G898" i="1" s="1"/>
  <c r="G899" i="1" s="1"/>
  <c r="G900" i="1" s="1"/>
  <c r="G901" i="1" s="1"/>
  <c r="G902" i="1" s="1"/>
  <c r="G903" i="1" s="1"/>
  <c r="G904" i="1" s="1"/>
  <c r="G905" i="1" s="1"/>
  <c r="G906" i="1" s="1"/>
  <c r="G907" i="1" s="1"/>
  <c r="G908" i="1" s="1"/>
  <c r="G909" i="1" s="1"/>
  <c r="G910" i="1" s="1"/>
  <c r="G911" i="1" s="1"/>
  <c r="G912" i="1" s="1"/>
  <c r="G913" i="1" s="1"/>
  <c r="G914" i="1" s="1"/>
  <c r="G915" i="1" s="1"/>
  <c r="G916" i="1" s="1"/>
  <c r="G917" i="1" s="1"/>
  <c r="G918" i="1" s="1"/>
  <c r="G919" i="1" s="1"/>
  <c r="G920" i="1" s="1"/>
  <c r="G921" i="1" s="1"/>
  <c r="G922" i="1" s="1"/>
  <c r="G923" i="1" s="1"/>
  <c r="G924" i="1" s="1"/>
  <c r="G925" i="1" s="1"/>
  <c r="G926" i="1" s="1"/>
  <c r="G927" i="1" s="1"/>
  <c r="G928" i="1" s="1"/>
  <c r="G929" i="1" s="1"/>
  <c r="G930" i="1" s="1"/>
  <c r="G931" i="1" s="1"/>
  <c r="G932" i="1" s="1"/>
  <c r="G933" i="1" s="1"/>
  <c r="G934" i="1" s="1"/>
  <c r="G935" i="1" l="1"/>
  <c r="G936" i="1" s="1"/>
  <c r="G937" i="1" s="1"/>
  <c r="G938" i="1" s="1"/>
  <c r="G939" i="1" s="1"/>
  <c r="G941" i="1" s="1"/>
  <c r="G942" i="1" s="1"/>
  <c r="G943" i="1" s="1"/>
  <c r="G944" i="1" l="1"/>
  <c r="G945" i="1" s="1"/>
  <c r="G946" i="1" s="1"/>
  <c r="G947" i="1" s="1"/>
  <c r="G948" i="1" s="1"/>
  <c r="G949" i="1" s="1"/>
  <c r="G950" i="1" s="1"/>
  <c r="G951" i="1" s="1"/>
  <c r="G952" i="1" s="1"/>
  <c r="G953" i="1" s="1"/>
  <c r="G954" i="1" s="1"/>
  <c r="G955" i="1" s="1"/>
  <c r="G956" i="1" s="1"/>
  <c r="G957" i="1" s="1"/>
  <c r="G958" i="1" s="1"/>
  <c r="G959" i="1" s="1"/>
  <c r="G960" i="1" s="1"/>
  <c r="G961" i="1" s="1"/>
  <c r="G962" i="1" l="1"/>
  <c r="G963" i="1" s="1"/>
  <c r="G964" i="1" s="1"/>
  <c r="G965" i="1" s="1"/>
  <c r="G966" i="1" s="1"/>
  <c r="G967" i="1" s="1"/>
  <c r="G968" i="1" s="1"/>
  <c r="G969" i="1" s="1"/>
  <c r="G970" i="1" s="1"/>
  <c r="G971" i="1" s="1"/>
  <c r="G972" i="1" s="1"/>
  <c r="G973" i="1" s="1"/>
  <c r="G974" i="1" s="1"/>
  <c r="G975" i="1" s="1"/>
  <c r="G976" i="1" s="1"/>
  <c r="G977" i="1" l="1"/>
  <c r="G978" i="1" s="1"/>
  <c r="G979" i="1" s="1"/>
  <c r="G980" i="1" s="1"/>
  <c r="G981" i="1" s="1"/>
  <c r="G982" i="1" s="1"/>
  <c r="G984" i="1" l="1"/>
  <c r="G985" i="1" s="1"/>
  <c r="G986" i="1" s="1"/>
  <c r="G987" i="1" s="1"/>
  <c r="G988" i="1" s="1"/>
  <c r="G989" i="1" s="1"/>
  <c r="G990" i="1" s="1"/>
  <c r="G991" i="1" s="1"/>
  <c r="G992" i="1" s="1"/>
  <c r="G993" i="1" s="1"/>
  <c r="G994" i="1" s="1"/>
  <c r="G995" i="1" l="1"/>
  <c r="G996" i="1" s="1"/>
  <c r="G997" i="1" s="1"/>
  <c r="G998" i="1" s="1"/>
  <c r="G999" i="1" s="1"/>
  <c r="G1000" i="1" s="1"/>
  <c r="G1001" i="1" s="1"/>
  <c r="G1002" i="1" s="1"/>
  <c r="G1003" i="1" s="1"/>
  <c r="G1004" i="1" s="1"/>
  <c r="G1005" i="1" s="1"/>
  <c r="G1006" i="1" s="1"/>
  <c r="G1007" i="1" s="1"/>
  <c r="G1008" i="1" s="1"/>
  <c r="G1009" i="1" s="1"/>
  <c r="G1010" i="1" l="1"/>
  <c r="G1011" i="1" s="1"/>
  <c r="G1012" i="1" s="1"/>
  <c r="G1013" i="1" s="1"/>
  <c r="G1014" i="1" s="1"/>
  <c r="G1015" i="1" s="1"/>
  <c r="G1016" i="1" s="1"/>
  <c r="G1017" i="1" s="1"/>
  <c r="G1018" i="1" s="1"/>
  <c r="G1019" i="1" s="1"/>
  <c r="G1020" i="1" s="1"/>
  <c r="G1021" i="1" s="1"/>
  <c r="G1022" i="1" s="1"/>
  <c r="G1023" i="1" s="1"/>
  <c r="G1024" i="1" s="1"/>
  <c r="G1025" i="1" s="1"/>
  <c r="G1026" i="1" l="1"/>
  <c r="G1027" i="1" s="1"/>
  <c r="G1028" i="1" s="1"/>
  <c r="G1029" i="1" l="1"/>
  <c r="G1030" i="1" s="1"/>
  <c r="G1031" i="1" s="1"/>
  <c r="G1033" i="1" s="1"/>
  <c r="G1034" i="1" s="1"/>
  <c r="G1035" i="1" s="1"/>
  <c r="G1036" i="1" s="1"/>
  <c r="G1037" i="1" s="1"/>
  <c r="G1038" i="1" s="1"/>
  <c r="G1039" i="1" s="1"/>
  <c r="G1040" i="1" s="1"/>
  <c r="G1041" i="1" s="1"/>
  <c r="G1042" i="1" s="1"/>
  <c r="G1043" i="1" s="1"/>
  <c r="G1044" i="1" s="1"/>
  <c r="G1045" i="1" s="1"/>
  <c r="G1046" i="1" s="1"/>
  <c r="G1047" i="1" s="1"/>
  <c r="G1048" i="1" s="1"/>
  <c r="G1049" i="1" s="1"/>
  <c r="G1050" i="1" s="1"/>
  <c r="G1051" i="1" l="1"/>
  <c r="G1052" i="1" s="1"/>
  <c r="G1053" i="1" s="1"/>
  <c r="G1054" i="1" s="1"/>
  <c r="G1055" i="1" s="1"/>
  <c r="G1056" i="1" s="1"/>
  <c r="G1057" i="1" s="1"/>
  <c r="G1058" i="1" s="1"/>
  <c r="G1059" i="1" s="1"/>
  <c r="G1060" i="1" s="1"/>
  <c r="G1061" i="1" s="1"/>
  <c r="G1062" i="1" s="1"/>
  <c r="G1063" i="1" s="1"/>
  <c r="G1064" i="1" s="1"/>
  <c r="G1065" i="1" s="1"/>
  <c r="G1066" i="1" s="1"/>
  <c r="G1067" i="1" s="1"/>
  <c r="G1068" i="1" s="1"/>
  <c r="G1069" i="1" s="1"/>
  <c r="G1070" i="1" s="1"/>
  <c r="G1071" i="1" s="1"/>
  <c r="G1072" i="1" l="1"/>
  <c r="G1073" i="1" s="1"/>
  <c r="G1074" i="1" s="1"/>
  <c r="G1075" i="1" s="1"/>
  <c r="G1076" i="1" s="1"/>
  <c r="G1077" i="1" s="1"/>
  <c r="G1078" i="1" s="1"/>
  <c r="G1079" i="1" l="1"/>
  <c r="G1080" i="1" s="1"/>
  <c r="G1081" i="1" s="1"/>
  <c r="G1082" i="1" s="1"/>
  <c r="G1083" i="1" s="1"/>
  <c r="G1084" i="1" s="1"/>
  <c r="G1085" i="1" s="1"/>
  <c r="G1088" i="1" s="1"/>
  <c r="G1089" i="1" s="1"/>
  <c r="G1090" i="1" s="1"/>
  <c r="G1091" i="1" s="1"/>
  <c r="G1092" i="1" s="1"/>
  <c r="G1093" i="1" s="1"/>
  <c r="G1094" i="1" s="1"/>
  <c r="G1095" i="1" s="1"/>
  <c r="G1096" i="1" s="1"/>
  <c r="G1097" i="1" s="1"/>
  <c r="G1098" i="1" s="1"/>
  <c r="G1099" i="1" s="1"/>
  <c r="G1100" i="1" s="1"/>
  <c r="G1101" i="1" s="1"/>
  <c r="G1102" i="1" s="1"/>
  <c r="G1103" i="1" s="1"/>
  <c r="G1104" i="1" s="1"/>
  <c r="G1105" i="1" s="1"/>
  <c r="G1106" i="1" s="1"/>
  <c r="G1107" i="1" s="1"/>
  <c r="G1108" i="1" s="1"/>
  <c r="G1109" i="1" s="1"/>
  <c r="G1110" i="1" s="1"/>
  <c r="G1111" i="1" s="1"/>
  <c r="G1112" i="1" s="1"/>
  <c r="G1113" i="1" s="1"/>
  <c r="G1114" i="1" s="1"/>
  <c r="G1115" i="1" s="1"/>
  <c r="G1116" i="1" s="1"/>
  <c r="G1117" i="1" s="1"/>
  <c r="G1118" i="1" s="1"/>
  <c r="G1119" i="1" s="1"/>
  <c r="G1120" i="1" s="1"/>
  <c r="G1121" i="1" s="1"/>
  <c r="G1122" i="1" s="1"/>
  <c r="G1123" i="1" s="1"/>
  <c r="G1124" i="1" s="1"/>
  <c r="G1125" i="1" s="1"/>
  <c r="G1126" i="1" s="1"/>
  <c r="G1127" i="1" s="1"/>
  <c r="G1128" i="1" s="1"/>
  <c r="G1129" i="1" s="1"/>
  <c r="G1130" i="1" s="1"/>
  <c r="G1131" i="1" s="1"/>
  <c r="G1132" i="1" s="1"/>
  <c r="G1133" i="1" s="1"/>
  <c r="G1134" i="1" s="1"/>
  <c r="G1135" i="1" s="1"/>
  <c r="G1136" i="1" s="1"/>
  <c r="G1137" i="1" s="1"/>
  <c r="G1138" i="1" s="1"/>
  <c r="G1139" i="1" s="1"/>
  <c r="G1140" i="1" s="1"/>
  <c r="G1141" i="1" l="1"/>
  <c r="G1142" i="1" s="1"/>
  <c r="G1143" i="1" s="1"/>
  <c r="G1144" i="1" s="1"/>
  <c r="G1147" i="1" s="1"/>
  <c r="G1148" i="1" s="1"/>
  <c r="G1149" i="1" s="1"/>
  <c r="G1150" i="1" s="1"/>
  <c r="G1151" i="1" s="1"/>
  <c r="G1152" i="1" s="1"/>
  <c r="G1153" i="1" s="1"/>
  <c r="G1154" i="1" s="1"/>
  <c r="G1155" i="1" s="1"/>
  <c r="G1156" i="1" s="1"/>
  <c r="G1157" i="1" s="1"/>
  <c r="G1158" i="1" s="1"/>
  <c r="G1159" i="1" s="1"/>
  <c r="G1160" i="1" s="1"/>
  <c r="G1161" i="1" s="1"/>
  <c r="G1162" i="1" s="1"/>
  <c r="G1163" i="1" s="1"/>
  <c r="G1164" i="1" s="1"/>
  <c r="G1165" i="1" s="1"/>
  <c r="G1166" i="1" s="1"/>
  <c r="G1167" i="1" s="1"/>
  <c r="G1168" i="1" s="1"/>
  <c r="G1169" i="1" s="1"/>
  <c r="G1170" i="1" s="1"/>
  <c r="G1171" i="1" s="1"/>
  <c r="G1172" i="1" s="1"/>
  <c r="G1173" i="1" s="1"/>
  <c r="G1174" i="1" s="1"/>
  <c r="G1175" i="1" s="1"/>
  <c r="G1176" i="1" s="1"/>
  <c r="G1177" i="1" s="1"/>
  <c r="G1178" i="1" s="1"/>
  <c r="G1179" i="1" s="1"/>
  <c r="G1180" i="1" s="1"/>
  <c r="G1181" i="1" s="1"/>
  <c r="G1182" i="1" s="1"/>
  <c r="G1183" i="1" s="1"/>
  <c r="G1184" i="1" s="1"/>
  <c r="G1185" i="1" s="1"/>
  <c r="G1186" i="1" s="1"/>
  <c r="G1187" i="1" s="1"/>
  <c r="G1188" i="1" s="1"/>
  <c r="G1189" i="1" s="1"/>
  <c r="G1190" i="1" s="1"/>
  <c r="G1191" i="1" s="1"/>
  <c r="G1192" i="1" s="1"/>
  <c r="G1193" i="1" s="1"/>
  <c r="G1194" i="1" s="1"/>
  <c r="G1195" i="1" s="1"/>
  <c r="G1196" i="1" s="1"/>
  <c r="G1197" i="1" s="1"/>
  <c r="G1198" i="1" s="1"/>
  <c r="G1199" i="1" s="1"/>
  <c r="G1200" i="1" s="1"/>
  <c r="G1201" i="1" s="1"/>
  <c r="G1202" i="1" s="1"/>
  <c r="G1203" i="1" s="1"/>
  <c r="G1204" i="1" s="1"/>
  <c r="G1205" i="1" s="1"/>
  <c r="G1208" i="1" l="1"/>
  <c r="G1209" i="1" s="1"/>
  <c r="G1210" i="1" l="1"/>
  <c r="G1211" i="1" l="1"/>
  <c r="G1212" i="1" s="1"/>
  <c r="G1213" i="1" l="1"/>
  <c r="G1214" i="1" s="1"/>
  <c r="G1215" i="1" s="1"/>
  <c r="G1216" i="1" s="1"/>
  <c r="G1217" i="1" s="1"/>
  <c r="G1218" i="1" s="1"/>
  <c r="G1219" i="1" s="1"/>
  <c r="G1220" i="1" s="1"/>
  <c r="G1221" i="1" s="1"/>
  <c r="G1222" i="1" s="1"/>
  <c r="G1223" i="1" l="1"/>
  <c r="G1224" i="1" s="1"/>
  <c r="G1225" i="1" s="1"/>
  <c r="G1226" i="1" s="1"/>
  <c r="G1227" i="1" s="1"/>
  <c r="G1228" i="1" s="1"/>
  <c r="G1229" i="1" s="1"/>
  <c r="G1230" i="1" s="1"/>
  <c r="G1231" i="1" s="1"/>
  <c r="G1232" i="1" s="1"/>
  <c r="G1233" i="1" s="1"/>
  <c r="G1234" i="1" s="1"/>
  <c r="G1235" i="1" s="1"/>
  <c r="G1236" i="1" s="1"/>
  <c r="G1237" i="1" s="1"/>
  <c r="G1238" i="1" s="1"/>
  <c r="G1239" i="1" s="1"/>
  <c r="G1240" i="1" s="1"/>
  <c r="G1241" i="1" s="1"/>
  <c r="G1242" i="1" s="1"/>
  <c r="G1243" i="1" s="1"/>
  <c r="G1244" i="1" s="1"/>
  <c r="G1245" i="1" s="1"/>
  <c r="G1246" i="1" s="1"/>
  <c r="G1247" i="1" s="1"/>
  <c r="G1248" i="1" s="1"/>
  <c r="G1249" i="1" s="1"/>
  <c r="G1250" i="1" s="1"/>
  <c r="G1251" i="1" s="1"/>
  <c r="G1252" i="1" s="1"/>
  <c r="G1253" i="1" s="1"/>
  <c r="G1254" i="1" s="1"/>
  <c r="G1255" i="1" s="1"/>
  <c r="G1256" i="1" s="1"/>
  <c r="G1257" i="1" s="1"/>
  <c r="G1258" i="1" s="1"/>
  <c r="G1259" i="1" s="1"/>
  <c r="G1260" i="1" s="1"/>
  <c r="G1261" i="1" s="1"/>
  <c r="G1262" i="1" s="1"/>
  <c r="G1263" i="1" s="1"/>
  <c r="G1264" i="1" s="1"/>
  <c r="G1265" i="1" s="1"/>
  <c r="G1266" i="1" s="1"/>
  <c r="G1267" i="1" s="1"/>
  <c r="G1268" i="1" s="1"/>
  <c r="G1269" i="1" l="1"/>
  <c r="G1270" i="1" s="1"/>
  <c r="G1271" i="1" s="1"/>
  <c r="G1274" i="1" s="1"/>
  <c r="G1275" i="1" s="1"/>
  <c r="G1276" i="1" s="1"/>
  <c r="G1277" i="1" s="1"/>
  <c r="G1278" i="1" s="1"/>
  <c r="G1279" i="1" s="1"/>
  <c r="G1280" i="1" s="1"/>
  <c r="G1281" i="1" l="1"/>
  <c r="G1282" i="1" s="1"/>
  <c r="G1283" i="1" s="1"/>
  <c r="G1284" i="1" s="1"/>
  <c r="G1285" i="1" s="1"/>
  <c r="G1286" i="1" s="1"/>
  <c r="G1287" i="1" s="1"/>
  <c r="G1288" i="1" s="1"/>
  <c r="G1289" i="1" s="1"/>
  <c r="G1290" i="1" s="1"/>
  <c r="G1291" i="1" s="1"/>
  <c r="I1282" i="1"/>
  <c r="G1292" i="1" l="1"/>
  <c r="G1293" i="1" s="1"/>
  <c r="G1294" i="1" s="1"/>
  <c r="G1295" i="1" s="1"/>
  <c r="G1296" i="1" s="1"/>
  <c r="G1297" i="1" s="1"/>
  <c r="G1298" i="1" s="1"/>
  <c r="G1299" i="1" s="1"/>
  <c r="G1300" i="1" s="1"/>
  <c r="G1301" i="1" s="1"/>
  <c r="G1302" i="1" s="1"/>
  <c r="G1303" i="1" s="1"/>
  <c r="G1304" i="1" s="1"/>
  <c r="G1305" i="1" s="1"/>
  <c r="G1306" i="1" s="1"/>
  <c r="G1307" i="1" s="1"/>
  <c r="G1308" i="1" s="1"/>
  <c r="G1309" i="1" s="1"/>
  <c r="G1310" i="1" s="1"/>
  <c r="G1311" i="1" s="1"/>
  <c r="G1312" i="1" s="1"/>
  <c r="G1313" i="1" s="1"/>
  <c r="G1314" i="1" s="1"/>
  <c r="G1315" i="1" l="1"/>
  <c r="G1316" i="1" s="1"/>
  <c r="G1317" i="1" s="1"/>
  <c r="G1318" i="1" s="1"/>
  <c r="G1319" i="1" s="1"/>
  <c r="G1322" i="1" s="1"/>
  <c r="G1323" i="1" s="1"/>
  <c r="G1324" i="1" s="1"/>
  <c r="G1325" i="1" s="1"/>
  <c r="G1326" i="1" s="1"/>
  <c r="G1327" i="1" s="1"/>
  <c r="G1328" i="1" s="1"/>
  <c r="G1329" i="1" s="1"/>
  <c r="G1330" i="1" s="1"/>
  <c r="G1331" i="1" s="1"/>
  <c r="G1332" i="1" l="1"/>
  <c r="G1333" i="1" s="1"/>
  <c r="G1334" i="1" s="1"/>
  <c r="G1335" i="1" s="1"/>
  <c r="G1336" i="1" s="1"/>
  <c r="G1337" i="1" s="1"/>
  <c r="G1338" i="1" s="1"/>
  <c r="G1339" i="1" s="1"/>
  <c r="G1340" i="1" s="1"/>
  <c r="G1341" i="1" s="1"/>
  <c r="G1342" i="1" s="1"/>
  <c r="G1343" i="1" s="1"/>
  <c r="G1344" i="1" s="1"/>
  <c r="G1345" i="1" s="1"/>
  <c r="G1346" i="1" s="1"/>
  <c r="G1347" i="1" s="1"/>
  <c r="G1348" i="1" s="1"/>
  <c r="G1349" i="1" s="1"/>
  <c r="G1350" i="1" s="1"/>
  <c r="G1351" i="1" s="1"/>
  <c r="G1352" i="1" s="1"/>
  <c r="G1353" i="1" s="1"/>
  <c r="G1354" i="1" s="1"/>
  <c r="G1355" i="1" l="1"/>
  <c r="G1356" i="1" s="1"/>
  <c r="G1357" i="1" s="1"/>
  <c r="G1358" i="1" s="1"/>
  <c r="G1359" i="1" s="1"/>
  <c r="G1360" i="1" s="1"/>
  <c r="G1361" i="1" s="1"/>
  <c r="G1362" i="1" s="1"/>
  <c r="G1363" i="1" s="1"/>
  <c r="G1364" i="1" s="1"/>
  <c r="G1365" i="1" s="1"/>
  <c r="G1366" i="1" s="1"/>
  <c r="G1367" i="1" s="1"/>
  <c r="G1368" i="1" s="1"/>
  <c r="G1369" i="1" s="1"/>
  <c r="G1370" i="1" s="1"/>
  <c r="G1371" i="1" s="1"/>
  <c r="G1372" i="1" s="1"/>
  <c r="G1373" i="1" s="1"/>
  <c r="G1374" i="1" s="1"/>
  <c r="G1375" i="1" s="1"/>
  <c r="G1376" i="1" s="1"/>
  <c r="G1377" i="1" s="1"/>
  <c r="G1378" i="1" s="1"/>
  <c r="G1379" i="1" s="1"/>
  <c r="G1380" i="1" s="1"/>
  <c r="G1381" i="1" s="1"/>
  <c r="G1382" i="1" l="1"/>
  <c r="G1383" i="1" s="1"/>
  <c r="G1384" i="1" s="1"/>
  <c r="G1385" i="1" s="1"/>
  <c r="G1386" i="1" l="1"/>
  <c r="G1387" i="1" s="1"/>
  <c r="G1388" i="1" l="1"/>
  <c r="G1389" i="1" s="1"/>
  <c r="G1390" i="1" s="1"/>
  <c r="G1393" i="1" s="1"/>
  <c r="G1394" i="1" l="1"/>
  <c r="G1395" i="1" s="1"/>
  <c r="G1396" i="1" s="1"/>
  <c r="G1397" i="1" l="1"/>
  <c r="G1398" i="1" s="1"/>
  <c r="G1399" i="1" l="1"/>
  <c r="G1400" i="1" s="1"/>
  <c r="G1401" i="1" s="1"/>
  <c r="G1402" i="1" s="1"/>
  <c r="G1403" i="1" s="1"/>
  <c r="G1404" i="1" s="1"/>
  <c r="G1405" i="1" s="1"/>
  <c r="G1406" i="1" s="1"/>
  <c r="G1407" i="1" s="1"/>
  <c r="G1408" i="1" s="1"/>
  <c r="G1409" i="1" s="1"/>
  <c r="G1410" i="1" s="1"/>
  <c r="G1411" i="1" s="1"/>
  <c r="G1412" i="1" s="1"/>
  <c r="G1413" i="1" s="1"/>
  <c r="G1414" i="1" l="1"/>
  <c r="G1415" i="1" s="1"/>
  <c r="G1416" i="1" s="1"/>
  <c r="G1417" i="1" s="1"/>
  <c r="G1418" i="1" s="1"/>
  <c r="G1419" i="1" s="1"/>
  <c r="G1420" i="1" s="1"/>
  <c r="G1421" i="1" l="1"/>
  <c r="G1422" i="1" s="1"/>
  <c r="G1423" i="1" s="1"/>
  <c r="G1424" i="1" l="1"/>
  <c r="G1425" i="1" s="1"/>
  <c r="G1426" i="1" s="1"/>
  <c r="G1427" i="1" s="1"/>
  <c r="G1428" i="1" s="1"/>
  <c r="G1429" i="1" s="1"/>
  <c r="G1430" i="1" s="1"/>
  <c r="G1431" i="1" s="1"/>
  <c r="G1432" i="1" s="1"/>
  <c r="G1433" i="1" s="1"/>
  <c r="G1434" i="1" s="1"/>
  <c r="G1435" i="1" s="1"/>
  <c r="G1436" i="1" s="1"/>
  <c r="G1437" i="1" s="1"/>
  <c r="G1438" i="1" s="1"/>
  <c r="G1439" i="1" s="1"/>
  <c r="G1440" i="1" s="1"/>
  <c r="G1441" i="1" s="1"/>
  <c r="G1442" i="1" s="1"/>
  <c r="G1443" i="1" l="1"/>
  <c r="G1444" i="1" s="1"/>
  <c r="G1446" i="1" s="1"/>
  <c r="G1447" i="1" s="1"/>
  <c r="G1448" i="1" s="1"/>
  <c r="G1449" i="1" s="1"/>
  <c r="G1450" i="1" s="1"/>
  <c r="G1451" i="1" s="1"/>
  <c r="G1452" i="1" s="1"/>
  <c r="G1453" i="1" s="1"/>
  <c r="G1454" i="1" s="1"/>
  <c r="G1455" i="1" s="1"/>
  <c r="G1456" i="1" s="1"/>
  <c r="G1457" i="1" s="1"/>
  <c r="G1458" i="1" s="1"/>
  <c r="G1459" i="1" s="1"/>
  <c r="G1460" i="1" s="1"/>
  <c r="G1461" i="1" s="1"/>
  <c r="G1462" i="1" s="1"/>
  <c r="G1463" i="1" s="1"/>
  <c r="G1464" i="1" s="1"/>
  <c r="G1465" i="1" s="1"/>
  <c r="G1466" i="1" s="1"/>
  <c r="G1467" i="1" s="1"/>
  <c r="G1468" i="1" s="1"/>
  <c r="G1469" i="1" s="1"/>
  <c r="G1470" i="1" s="1"/>
  <c r="G1471" i="1" s="1"/>
  <c r="G1472" i="1" s="1"/>
  <c r="G1473" i="1" s="1"/>
  <c r="G1474" i="1" s="1"/>
  <c r="G1475" i="1" s="1"/>
  <c r="G1476" i="1" s="1"/>
  <c r="G1477" i="1" s="1"/>
  <c r="G1478" i="1" s="1"/>
  <c r="G1479" i="1" s="1"/>
  <c r="G1480" i="1" s="1"/>
  <c r="G1481" i="1" s="1"/>
  <c r="G1482" i="1" s="1"/>
  <c r="G1483" i="1" s="1"/>
  <c r="G1484" i="1" s="1"/>
  <c r="G1485" i="1" s="1"/>
  <c r="G1486" i="1" s="1"/>
  <c r="G1487" i="1" s="1"/>
  <c r="G1488" i="1" s="1"/>
  <c r="G1489" i="1" s="1"/>
  <c r="G1490" i="1" s="1"/>
  <c r="G1491" i="1" s="1"/>
  <c r="G1492" i="1" l="1"/>
  <c r="G1493" i="1" s="1"/>
  <c r="G1494" i="1" s="1"/>
  <c r="G1495" i="1" s="1"/>
  <c r="G1496" i="1" s="1"/>
  <c r="G1497" i="1" l="1"/>
  <c r="G1498" i="1" s="1"/>
  <c r="G1499" i="1" s="1"/>
  <c r="G1502" i="1" s="1"/>
  <c r="G1503" i="1" s="1"/>
  <c r="G1504" i="1" s="1"/>
  <c r="G1505" i="1" s="1"/>
  <c r="G1506" i="1" s="1"/>
  <c r="G1507" i="1" s="1"/>
  <c r="G1508" i="1" s="1"/>
  <c r="G1509" i="1" s="1"/>
  <c r="G1510" i="1" s="1"/>
  <c r="G1511" i="1" s="1"/>
  <c r="G1512" i="1" s="1"/>
  <c r="G1513" i="1" s="1"/>
  <c r="G1514" i="1" s="1"/>
  <c r="G1515" i="1" s="1"/>
  <c r="G1516" i="1" s="1"/>
  <c r="G1517" i="1" s="1"/>
  <c r="G1518" i="1" s="1"/>
  <c r="G1519" i="1" s="1"/>
  <c r="G1520" i="1" s="1"/>
  <c r="G1521" i="1" s="1"/>
  <c r="G1522" i="1" s="1"/>
  <c r="G1523" i="1" s="1"/>
  <c r="G1524" i="1" s="1"/>
  <c r="G1525" i="1" s="1"/>
  <c r="G1526" i="1" s="1"/>
  <c r="G1527" i="1" s="1"/>
  <c r="G1528" i="1" s="1"/>
  <c r="G1529" i="1" s="1"/>
  <c r="G1530" i="1" s="1"/>
  <c r="G1531" i="1" s="1"/>
  <c r="G1532" i="1" s="1"/>
  <c r="G1533" i="1" s="1"/>
  <c r="G1534" i="1" s="1"/>
  <c r="G1535" i="1" s="1"/>
  <c r="G1536" i="1" s="1"/>
  <c r="G1537" i="1" s="1"/>
  <c r="G1538" i="1" s="1"/>
  <c r="G1539" i="1" s="1"/>
  <c r="G1540" i="1" s="1"/>
  <c r="G1541" i="1" s="1"/>
  <c r="G1542" i="1" s="1"/>
  <c r="G1543" i="1" s="1"/>
  <c r="G1544" i="1" s="1"/>
  <c r="G1545" i="1" s="1"/>
  <c r="G1546" i="1" s="1"/>
  <c r="G1547" i="1" s="1"/>
  <c r="G1548" i="1" s="1"/>
  <c r="G1549" i="1" s="1"/>
  <c r="G1550" i="1" s="1"/>
  <c r="G1551" i="1" l="1"/>
  <c r="G1552" i="1" s="1"/>
  <c r="G1554" i="1" l="1"/>
  <c r="G1555" i="1" s="1"/>
  <c r="G1556" i="1" s="1"/>
  <c r="G1557" i="1" s="1"/>
  <c r="G1558" i="1" s="1"/>
  <c r="G1559" i="1" s="1"/>
  <c r="G1560" i="1" s="1"/>
  <c r="G1561" i="1" s="1"/>
  <c r="G1562" i="1" s="1"/>
  <c r="G1563" i="1" s="1"/>
  <c r="G1564" i="1" s="1"/>
  <c r="G1565" i="1" s="1"/>
  <c r="G1566" i="1" s="1"/>
  <c r="G1567" i="1" s="1"/>
  <c r="G1568" i="1" s="1"/>
  <c r="G1569" i="1" s="1"/>
  <c r="G1570" i="1" s="1"/>
  <c r="G1571" i="1" l="1"/>
  <c r="G1572" i="1" s="1"/>
  <c r="G1573" i="1" s="1"/>
  <c r="G1574" i="1" s="1"/>
  <c r="G1575" i="1" l="1"/>
  <c r="G1576" i="1" s="1"/>
  <c r="G1577" i="1" s="1"/>
  <c r="G1578" i="1" s="1"/>
  <c r="G1579" i="1" s="1"/>
  <c r="G1580" i="1" s="1"/>
  <c r="G1581" i="1" s="1"/>
  <c r="G1582" i="1" s="1"/>
  <c r="G1583" i="1" s="1"/>
  <c r="I1575" i="1"/>
  <c r="G1584" i="1" l="1"/>
  <c r="G1585" i="1" s="1"/>
  <c r="G1586" i="1" s="1"/>
  <c r="G1587" i="1" s="1"/>
  <c r="G1588" i="1" s="1"/>
  <c r="G1589" i="1" s="1"/>
  <c r="G1590" i="1" s="1"/>
  <c r="G1591" i="1" s="1"/>
  <c r="G1592" i="1" s="1"/>
  <c r="G1593" i="1" s="1"/>
  <c r="G1594" i="1" s="1"/>
  <c r="G1595" i="1" s="1"/>
  <c r="G1596" i="1" s="1"/>
  <c r="G1597" i="1" s="1"/>
  <c r="G1598" i="1" s="1"/>
  <c r="G1599" i="1" s="1"/>
  <c r="G1600" i="1" s="1"/>
  <c r="G1601" i="1" s="1"/>
  <c r="G1602" i="1" s="1"/>
  <c r="G1603" i="1" s="1"/>
  <c r="G1604" i="1" s="1"/>
  <c r="G1605" i="1" s="1"/>
  <c r="G1606" i="1" s="1"/>
  <c r="G1607" i="1" s="1"/>
  <c r="G1608" i="1" s="1"/>
  <c r="G1609" i="1" s="1"/>
  <c r="G1610" i="1" s="1"/>
  <c r="G1613" i="1" l="1"/>
  <c r="G1614" i="1" s="1"/>
  <c r="G1615" i="1" s="1"/>
  <c r="G1616" i="1" s="1"/>
  <c r="G1617" i="1" s="1"/>
  <c r="G1618" i="1" s="1"/>
  <c r="G1619" i="1" s="1"/>
  <c r="G1620" i="1" s="1"/>
  <c r="G1621" i="1" s="1"/>
  <c r="G1622" i="1" s="1"/>
  <c r="G1623" i="1" s="1"/>
  <c r="G1624" i="1" s="1"/>
  <c r="G1625" i="1" s="1"/>
  <c r="G1626" i="1" s="1"/>
  <c r="G1627" i="1" s="1"/>
  <c r="G1628" i="1" s="1"/>
  <c r="G1629" i="1" s="1"/>
  <c r="G1630" i="1" s="1"/>
  <c r="G1631" i="1" s="1"/>
  <c r="G1632" i="1" s="1"/>
  <c r="G1633" i="1" s="1"/>
  <c r="G1634" i="1" s="1"/>
  <c r="G1635" i="1" s="1"/>
  <c r="G1636" i="1" s="1"/>
  <c r="G1637" i="1" s="1"/>
  <c r="G1638" i="1" s="1"/>
  <c r="G1639" i="1" s="1"/>
  <c r="G1640" i="1" s="1"/>
  <c r="G1641" i="1" s="1"/>
  <c r="G1642" i="1" s="1"/>
  <c r="G1643" i="1" s="1"/>
  <c r="G1644" i="1" s="1"/>
  <c r="G1645" i="1" s="1"/>
  <c r="G1646" i="1" s="1"/>
  <c r="G1647" i="1" s="1"/>
  <c r="G1648" i="1" s="1"/>
  <c r="G1649" i="1" s="1"/>
  <c r="G1650" i="1" s="1"/>
  <c r="G1611" i="1"/>
  <c r="G1651" i="1" l="1"/>
  <c r="G1652" i="1" s="1"/>
  <c r="G1653" i="1" s="1"/>
  <c r="G1654" i="1" s="1"/>
  <c r="G1655" i="1" s="1"/>
  <c r="G1656" i="1" s="1"/>
  <c r="G1657" i="1" s="1"/>
  <c r="G1658" i="1" s="1"/>
  <c r="G1659" i="1" s="1"/>
  <c r="G1660" i="1" s="1"/>
  <c r="G1661" i="1" s="1"/>
  <c r="G1662" i="1" s="1"/>
  <c r="G1663" i="1" l="1"/>
  <c r="G1664" i="1" s="1"/>
  <c r="G1665" i="1" s="1"/>
  <c r="G1666" i="1" s="1"/>
  <c r="G1667" i="1" s="1"/>
  <c r="G1668" i="1" s="1"/>
  <c r="G1669" i="1" s="1"/>
  <c r="G1670" i="1" s="1"/>
  <c r="G1671" i="1" s="1"/>
  <c r="G1674" i="1" s="1"/>
  <c r="G1675" i="1" s="1"/>
  <c r="G1676" i="1" s="1"/>
  <c r="G1677" i="1" s="1"/>
  <c r="G1678" i="1" s="1"/>
  <c r="G1679" i="1" s="1"/>
  <c r="G1680" i="1" s="1"/>
  <c r="G1681" i="1" s="1"/>
  <c r="G1682" i="1" s="1"/>
  <c r="G1683" i="1" s="1"/>
  <c r="G1684" i="1" s="1"/>
  <c r="G1685" i="1" s="1"/>
  <c r="G1686" i="1" s="1"/>
  <c r="G1687" i="1" s="1"/>
  <c r="G1688" i="1" s="1"/>
  <c r="G1689" i="1" s="1"/>
  <c r="G1690" i="1" s="1"/>
  <c r="G1691" i="1" s="1"/>
  <c r="G1692" i="1" s="1"/>
  <c r="G1693" i="1" s="1"/>
  <c r="G1694" i="1" s="1"/>
  <c r="G1695" i="1" s="1"/>
  <c r="G1696" i="1" l="1"/>
  <c r="G1697" i="1" s="1"/>
  <c r="G1698" i="1" s="1"/>
  <c r="G1699" i="1" s="1"/>
  <c r="G1700" i="1" s="1"/>
  <c r="G1701" i="1" s="1"/>
  <c r="G1702" i="1" s="1"/>
  <c r="G1703" i="1" l="1"/>
  <c r="G1704" i="1" s="1"/>
  <c r="G1705" i="1" s="1"/>
  <c r="G1706" i="1" s="1"/>
  <c r="G1707" i="1" s="1"/>
  <c r="G1708" i="1" s="1"/>
  <c r="G1709" i="1" s="1"/>
  <c r="G1710" i="1" s="1"/>
  <c r="G1711" i="1" s="1"/>
  <c r="G1712" i="1" s="1"/>
  <c r="G1713" i="1" s="1"/>
  <c r="G1714" i="1" s="1"/>
  <c r="G1715" i="1" s="1"/>
  <c r="G1716" i="1" s="1"/>
  <c r="G1717" i="1" s="1"/>
  <c r="G1718" i="1" s="1"/>
  <c r="G1719" i="1" s="1"/>
  <c r="G1720" i="1" s="1"/>
  <c r="G1721" i="1" s="1"/>
  <c r="G1722" i="1" s="1"/>
  <c r="G1723" i="1" s="1"/>
  <c r="G1724" i="1" s="1"/>
  <c r="G1725" i="1" s="1"/>
  <c r="G1726" i="1" s="1"/>
  <c r="G1727" i="1" s="1"/>
  <c r="G1728" i="1" s="1"/>
  <c r="G1729" i="1" s="1"/>
  <c r="G1730" i="1" s="1"/>
  <c r="G1731" i="1" s="1"/>
  <c r="G1732" i="1" s="1"/>
  <c r="G1733" i="1" s="1"/>
  <c r="G1734" i="1" s="1"/>
  <c r="G1735" i="1" s="1"/>
  <c r="G1738" i="1" s="1"/>
  <c r="G1739" i="1" s="1"/>
  <c r="G1740" i="1" s="1"/>
  <c r="G1741" i="1" l="1"/>
  <c r="G1742" i="1" s="1"/>
  <c r="G1743" i="1" s="1"/>
  <c r="G1744" i="1" s="1"/>
  <c r="G1745" i="1" s="1"/>
  <c r="G1746" i="1" s="1"/>
  <c r="G1747" i="1" s="1"/>
  <c r="G1748" i="1" s="1"/>
  <c r="G1749" i="1" s="1"/>
  <c r="G1750" i="1" s="1"/>
  <c r="G1751" i="1" s="1"/>
  <c r="G1752" i="1" s="1"/>
  <c r="G1753" i="1" s="1"/>
  <c r="G1754" i="1" s="1"/>
  <c r="G1755" i="1" s="1"/>
  <c r="G1756" i="1" s="1"/>
  <c r="G1757" i="1" s="1"/>
  <c r="G1758" i="1" l="1"/>
  <c r="G1759" i="1" s="1"/>
  <c r="G1760" i="1" s="1"/>
  <c r="G1761" i="1" s="1"/>
  <c r="G1762" i="1" s="1"/>
  <c r="G1763" i="1" s="1"/>
  <c r="G1764" i="1" s="1"/>
  <c r="G1765" i="1" s="1"/>
  <c r="G1766" i="1" s="1"/>
  <c r="G1767" i="1" s="1"/>
  <c r="G1768" i="1" s="1"/>
  <c r="G1769" i="1" s="1"/>
  <c r="G1770" i="1" s="1"/>
  <c r="G1771" i="1" s="1"/>
  <c r="G1772" i="1" s="1"/>
  <c r="G1773" i="1" s="1"/>
  <c r="G1774" i="1" s="1"/>
  <c r="G1775" i="1" s="1"/>
  <c r="G1776" i="1" s="1"/>
  <c r="G1777" i="1" s="1"/>
  <c r="G1778" i="1" s="1"/>
  <c r="G1779" i="1" s="1"/>
  <c r="G1780" i="1" s="1"/>
  <c r="G1781" i="1" s="1"/>
  <c r="G1782" i="1" s="1"/>
  <c r="G1783" i="1" s="1"/>
  <c r="G1784" i="1" s="1"/>
  <c r="G1785" i="1" s="1"/>
  <c r="G1786" i="1" s="1"/>
  <c r="G1787" i="1" s="1"/>
  <c r="G1790" i="1" l="1"/>
  <c r="G1791" i="1" s="1"/>
  <c r="G1792" i="1" s="1"/>
  <c r="G1793" i="1" s="1"/>
  <c r="G1794" i="1" s="1"/>
  <c r="G1795" i="1" s="1"/>
  <c r="G1796" i="1" s="1"/>
  <c r="G1797" i="1" s="1"/>
  <c r="G1798" i="1" s="1"/>
  <c r="G1799" i="1" s="1"/>
  <c r="G1800" i="1" s="1"/>
  <c r="G1801" i="1" s="1"/>
  <c r="G1802" i="1" s="1"/>
  <c r="G1803" i="1" s="1"/>
  <c r="G1804" i="1" s="1"/>
  <c r="G1805" i="1" s="1"/>
  <c r="G1806" i="1" s="1"/>
  <c r="G1807" i="1" s="1"/>
  <c r="G1808" i="1" l="1"/>
  <c r="G1809" i="1" s="1"/>
  <c r="G1810" i="1" s="1"/>
  <c r="G1811" i="1" s="1"/>
  <c r="G1812" i="1" s="1"/>
  <c r="G1813" i="1" s="1"/>
  <c r="G1814" i="1" s="1"/>
  <c r="G1815" i="1" s="1"/>
  <c r="G1816" i="1" s="1"/>
  <c r="G1817" i="1" l="1"/>
  <c r="G1818" i="1" s="1"/>
  <c r="G1819" i="1" s="1"/>
  <c r="G1820" i="1" s="1"/>
  <c r="G1821" i="1" s="1"/>
  <c r="G1822" i="1" s="1"/>
  <c r="G1823" i="1" s="1"/>
  <c r="G1824" i="1" s="1"/>
  <c r="G1825" i="1" s="1"/>
  <c r="G1826" i="1" s="1"/>
  <c r="G1827" i="1" l="1"/>
  <c r="G1828" i="1" s="1"/>
  <c r="G1829" i="1" s="1"/>
  <c r="G1830" i="1" s="1"/>
  <c r="G1831" i="1" s="1"/>
  <c r="G1832" i="1" s="1"/>
  <c r="G1833" i="1" s="1"/>
  <c r="G1834" i="1" s="1"/>
  <c r="G1835" i="1" s="1"/>
  <c r="G1836" i="1" s="1"/>
  <c r="G1837" i="1" s="1"/>
  <c r="G1838" i="1" s="1"/>
  <c r="G1839" i="1" s="1"/>
  <c r="G1840" i="1" s="1"/>
  <c r="G1841" i="1" s="1"/>
  <c r="G1842" i="1" s="1"/>
  <c r="G1843" i="1" s="1"/>
  <c r="G1844" i="1" s="1"/>
  <c r="G1845" i="1" s="1"/>
  <c r="G1846" i="1" s="1"/>
  <c r="G1847" i="1" s="1"/>
  <c r="G1848" i="1" s="1"/>
  <c r="G1849" i="1" s="1"/>
  <c r="G1850" i="1" s="1"/>
  <c r="G1853" i="1" s="1"/>
  <c r="G1854" i="1" s="1"/>
  <c r="G1855" i="1" s="1"/>
  <c r="G1856" i="1" s="1"/>
  <c r="G1857" i="1" s="1"/>
  <c r="G1858" i="1" s="1"/>
  <c r="G1859" i="1" s="1"/>
  <c r="G1860" i="1" s="1"/>
  <c r="G1861" i="1" s="1"/>
  <c r="G1862" i="1" s="1"/>
  <c r="G1863" i="1" s="1"/>
  <c r="G1864" i="1" s="1"/>
  <c r="G1865" i="1" s="1"/>
  <c r="G1866" i="1" s="1"/>
  <c r="G1867" i="1" s="1"/>
  <c r="G1868" i="1" s="1"/>
  <c r="G1869" i="1" s="1"/>
  <c r="G1870" i="1" s="1"/>
  <c r="G1871" i="1" s="1"/>
  <c r="G1872" i="1" s="1"/>
  <c r="G1873" i="1" s="1"/>
  <c r="G1874" i="1" s="1"/>
  <c r="G1875" i="1" s="1"/>
  <c r="G1876" i="1" s="1"/>
  <c r="G1877" i="1" s="1"/>
  <c r="G1878" i="1" s="1"/>
  <c r="G1879" i="1" s="1"/>
  <c r="G1880" i="1" s="1"/>
  <c r="G1881" i="1" s="1"/>
  <c r="G1882" i="1" s="1"/>
  <c r="G1883" i="1" s="1"/>
  <c r="G1884" i="1" s="1"/>
  <c r="G1885" i="1" s="1"/>
  <c r="G1886" i="1" s="1"/>
  <c r="G1887" i="1" s="1"/>
  <c r="G1888" i="1" s="1"/>
  <c r="G1889" i="1" s="1"/>
  <c r="G1890" i="1" s="1"/>
  <c r="G1891" i="1" s="1"/>
  <c r="G1892" i="1" s="1"/>
  <c r="G1893" i="1" s="1"/>
  <c r="G1894" i="1" s="1"/>
  <c r="G1895" i="1" s="1"/>
  <c r="G1896" i="1" s="1"/>
  <c r="G1897" i="1" s="1"/>
  <c r="G1898" i="1" s="1"/>
  <c r="G1899" i="1" s="1"/>
  <c r="G1900" i="1" s="1"/>
  <c r="G1901" i="1" s="1"/>
  <c r="G1902" i="1" s="1"/>
  <c r="G1903" i="1" s="1"/>
  <c r="G1904" i="1" s="1"/>
  <c r="G1905" i="1" s="1"/>
  <c r="G1906" i="1" s="1"/>
  <c r="G1907" i="1" s="1"/>
  <c r="G1908" i="1" s="1"/>
  <c r="G1909" i="1" s="1"/>
  <c r="G1910" i="1" s="1"/>
  <c r="G1911" i="1" s="1"/>
  <c r="G1912" i="1" s="1"/>
  <c r="G1913" i="1" s="1"/>
  <c r="G1914" i="1" s="1"/>
  <c r="G1915" i="1" s="1"/>
  <c r="G1916" i="1" s="1"/>
  <c r="G1917" i="1" s="1"/>
  <c r="G1918" i="1" s="1"/>
  <c r="G1919" i="1" s="1"/>
  <c r="G1920" i="1" s="1"/>
  <c r="G1921" i="1" s="1"/>
  <c r="G1922" i="1" s="1"/>
  <c r="G1923" i="1" s="1"/>
  <c r="G1924" i="1" s="1"/>
  <c r="G1925" i="1" s="1"/>
  <c r="G1926" i="1" s="1"/>
  <c r="G1927" i="1" s="1"/>
  <c r="G1928" i="1" s="1"/>
  <c r="G1929" i="1" s="1"/>
  <c r="G1930" i="1" s="1"/>
  <c r="G1931" i="1" s="1"/>
  <c r="G1932" i="1" s="1"/>
  <c r="G1933" i="1" s="1"/>
  <c r="G1934" i="1" s="1"/>
  <c r="G1935" i="1" s="1"/>
  <c r="G1936" i="1" s="1"/>
  <c r="G1937" i="1" s="1"/>
  <c r="G1938" i="1" s="1"/>
  <c r="G1939" i="1" s="1"/>
  <c r="G1940" i="1" s="1"/>
  <c r="G1941" i="1" s="1"/>
  <c r="G1942" i="1" s="1"/>
  <c r="G1943" i="1" s="1"/>
  <c r="G1944" i="1" s="1"/>
  <c r="G1945" i="1" s="1"/>
  <c r="G1946" i="1" s="1"/>
  <c r="G1947" i="1" s="1"/>
  <c r="G1948" i="1" s="1"/>
  <c r="G1949" i="1" s="1"/>
  <c r="G1950" i="1" s="1"/>
  <c r="G1951" i="1" l="1"/>
  <c r="G1952" i="1" s="1"/>
  <c r="G1955" i="1" s="1"/>
  <c r="G1956" i="1" s="1"/>
  <c r="G1957" i="1" s="1"/>
  <c r="G1958" i="1" s="1"/>
  <c r="G1959" i="1" s="1"/>
  <c r="G1960" i="1" s="1"/>
  <c r="G1961" i="1" s="1"/>
  <c r="G1962" i="1" s="1"/>
  <c r="G1963" i="1" s="1"/>
  <c r="G1964" i="1" s="1"/>
  <c r="G1965" i="1" s="1"/>
  <c r="G1966" i="1" s="1"/>
  <c r="G1967" i="1" s="1"/>
  <c r="G1968" i="1" s="1"/>
  <c r="G1969" i="1" l="1"/>
  <c r="G1970" i="1" s="1"/>
  <c r="G1971" i="1" s="1"/>
  <c r="G1972" i="1" s="1"/>
  <c r="G1973" i="1" s="1"/>
  <c r="G1974" i="1" s="1"/>
  <c r="G1975" i="1" s="1"/>
  <c r="G1976" i="1" s="1"/>
  <c r="G1977" i="1" s="1"/>
  <c r="G1978" i="1" s="1"/>
  <c r="G1979" i="1" s="1"/>
  <c r="G1980" i="1" s="1"/>
  <c r="G1981" i="1" s="1"/>
  <c r="G1982" i="1" s="1"/>
  <c r="G1983" i="1" s="1"/>
  <c r="G1984" i="1" s="1"/>
  <c r="G1985" i="1" s="1"/>
  <c r="G1986" i="1" s="1"/>
  <c r="G1987" i="1" s="1"/>
  <c r="G1988" i="1" s="1"/>
  <c r="G1989" i="1" s="1"/>
  <c r="G1990" i="1" s="1"/>
  <c r="G1991" i="1" s="1"/>
  <c r="G1992" i="1" s="1"/>
  <c r="G1993" i="1" s="1"/>
  <c r="G1994" i="1" s="1"/>
  <c r="G1995" i="1" s="1"/>
  <c r="G1996" i="1" s="1"/>
  <c r="G1997" i="1" s="1"/>
  <c r="G1998" i="1" s="1"/>
  <c r="G1999" i="1" s="1"/>
  <c r="G2000" i="1" s="1"/>
  <c r="G2001" i="1" s="1"/>
  <c r="G2002" i="1" s="1"/>
  <c r="G2003" i="1" s="1"/>
  <c r="G2004" i="1" s="1"/>
  <c r="G2005" i="1" s="1"/>
  <c r="G2006" i="1" s="1"/>
  <c r="G2007" i="1" s="1"/>
  <c r="G2008" i="1" l="1"/>
  <c r="G2009" i="1" s="1"/>
  <c r="G2010" i="1" s="1"/>
  <c r="G2011" i="1" s="1"/>
  <c r="G2012" i="1" s="1"/>
  <c r="G2013" i="1" s="1"/>
  <c r="G2014" i="1" s="1"/>
  <c r="G2015" i="1" s="1"/>
  <c r="G2016" i="1" s="1"/>
  <c r="G2017" i="1" s="1"/>
  <c r="G2018" i="1" s="1"/>
  <c r="G2019" i="1" s="1"/>
  <c r="G2020" i="1" s="1"/>
  <c r="G2021" i="1" s="1"/>
  <c r="G2022" i="1" s="1"/>
  <c r="G2023" i="1" s="1"/>
  <c r="G2024" i="1" s="1"/>
  <c r="G2025" i="1" s="1"/>
  <c r="G2026" i="1" s="1"/>
  <c r="G2027" i="1" s="1"/>
  <c r="G2028" i="1" s="1"/>
  <c r="G2029" i="1" s="1"/>
  <c r="G2030" i="1" s="1"/>
  <c r="G2031" i="1" s="1"/>
  <c r="G2032" i="1" s="1"/>
  <c r="G2033" i="1" s="1"/>
  <c r="G2034" i="1" s="1"/>
  <c r="G2035" i="1" s="1"/>
  <c r="G2036" i="1" s="1"/>
  <c r="G2037" i="1" s="1"/>
  <c r="G2038" i="1" s="1"/>
  <c r="G2039" i="1" s="1"/>
  <c r="G2040" i="1" s="1"/>
  <c r="I2041" i="1" l="1"/>
  <c r="G2043" i="1"/>
  <c r="G2044" i="1" s="1"/>
  <c r="G2045" i="1" l="1"/>
  <c r="G2046" i="1" s="1"/>
  <c r="G2047" i="1" s="1"/>
  <c r="G2048" i="1" s="1"/>
  <c r="G2049" i="1" s="1"/>
  <c r="G2050" i="1" s="1"/>
  <c r="G2051" i="1" s="1"/>
  <c r="G2052" i="1" s="1"/>
  <c r="G2053" i="1" s="1"/>
  <c r="G2054" i="1" s="1"/>
  <c r="G2055" i="1" s="1"/>
  <c r="G2056" i="1" s="1"/>
  <c r="G2057" i="1" s="1"/>
  <c r="G2058" i="1" s="1"/>
  <c r="G2059" i="1" s="1"/>
  <c r="G2060" i="1" s="1"/>
  <c r="G2061" i="1" s="1"/>
  <c r="G2062" i="1" s="1"/>
  <c r="G2063" i="1" s="1"/>
  <c r="G2064" i="1" s="1"/>
  <c r="G2065" i="1" s="1"/>
  <c r="G2066" i="1" s="1"/>
  <c r="G2067" i="1" s="1"/>
  <c r="G2068" i="1" s="1"/>
  <c r="G2069" i="1" s="1"/>
  <c r="G2070" i="1" s="1"/>
  <c r="G2071" i="1" s="1"/>
  <c r="G2072" i="1" s="1"/>
  <c r="G2073" i="1" s="1"/>
  <c r="G2074" i="1" s="1"/>
  <c r="G2075" i="1" s="1"/>
  <c r="G2076" i="1" s="1"/>
  <c r="G2077" i="1" s="1"/>
  <c r="G2078" i="1" s="1"/>
  <c r="G2079" i="1" s="1"/>
  <c r="G2080" i="1" s="1"/>
  <c r="G2081" i="1" s="1"/>
  <c r="G2082" i="1" s="1"/>
  <c r="G2083" i="1" s="1"/>
  <c r="G2084" i="1" s="1"/>
  <c r="G2085" i="1" s="1"/>
  <c r="G2086" i="1" s="1"/>
  <c r="G2087" i="1" s="1"/>
  <c r="G2088" i="1" s="1"/>
  <c r="G2089" i="1" s="1"/>
  <c r="G2090" i="1" s="1"/>
  <c r="G2091" i="1" s="1"/>
  <c r="G2092" i="1" s="1"/>
  <c r="G2093" i="1" s="1"/>
  <c r="G2094" i="1" s="1"/>
  <c r="G2095" i="1" s="1"/>
  <c r="G2096" i="1" s="1"/>
  <c r="G2097" i="1" s="1"/>
  <c r="G2098" i="1" s="1"/>
  <c r="G2099" i="1" s="1"/>
  <c r="G2100" i="1" s="1"/>
  <c r="G2101" i="1" s="1"/>
  <c r="G2102" i="1" s="1"/>
  <c r="G2103" i="1" s="1"/>
  <c r="G2104" i="1" s="1"/>
  <c r="G2105" i="1" s="1"/>
  <c r="G2106" i="1" s="1"/>
  <c r="G2107" i="1" s="1"/>
  <c r="G2108" i="1" s="1"/>
  <c r="G2109" i="1" s="1"/>
  <c r="G2110" i="1" s="1"/>
  <c r="G2111" i="1" s="1"/>
  <c r="G2112" i="1" s="1"/>
  <c r="G2113" i="1" s="1"/>
  <c r="G2114" i="1" s="1"/>
  <c r="G2115" i="1" s="1"/>
  <c r="G2116" i="1" s="1"/>
  <c r="G2117" i="1" s="1"/>
  <c r="G2118" i="1" s="1"/>
  <c r="G2119" i="1" s="1"/>
  <c r="G2120" i="1" s="1"/>
  <c r="G2121" i="1" s="1"/>
  <c r="G2122" i="1" s="1"/>
  <c r="G2123" i="1" s="1"/>
  <c r="G2124" i="1" s="1"/>
  <c r="G2125" i="1" s="1"/>
  <c r="G2126" i="1" s="1"/>
  <c r="G2127" i="1" s="1"/>
  <c r="G2128" i="1" s="1"/>
  <c r="G2129" i="1" s="1"/>
  <c r="G2130" i="1" s="1"/>
  <c r="G2131" i="1" s="1"/>
  <c r="G2132" i="1" s="1"/>
  <c r="G2133" i="1" s="1"/>
  <c r="G2134" i="1" s="1"/>
  <c r="G2135" i="1" s="1"/>
  <c r="G2136" i="1" s="1"/>
  <c r="G2137" i="1" s="1"/>
  <c r="G2138" i="1" s="1"/>
  <c r="G2139" i="1" s="1"/>
  <c r="G2140" i="1" s="1"/>
  <c r="G2141" i="1" s="1"/>
  <c r="G2142" i="1" s="1"/>
  <c r="I2143" i="1" l="1"/>
  <c r="G2145" i="1"/>
  <c r="G2146" i="1" s="1"/>
  <c r="G2147" i="1" s="1"/>
  <c r="G2148" i="1" s="1"/>
  <c r="G2149" i="1" s="1"/>
  <c r="G2150" i="1" s="1"/>
  <c r="G2151" i="1" s="1"/>
  <c r="G2152" i="1" s="1"/>
  <c r="G2153" i="1" s="1"/>
  <c r="G2154" i="1" s="1"/>
  <c r="G2155" i="1" s="1"/>
  <c r="G2156" i="1" s="1"/>
  <c r="G2157" i="1" s="1"/>
  <c r="G2158" i="1" s="1"/>
  <c r="G2159" i="1" s="1"/>
  <c r="G2160" i="1" s="1"/>
  <c r="G2161" i="1" s="1"/>
  <c r="G2162" i="1" s="1"/>
  <c r="G2163" i="1" s="1"/>
  <c r="G2164" i="1" s="1"/>
  <c r="G2165" i="1" s="1"/>
  <c r="G2166" i="1" s="1"/>
  <c r="G2167" i="1" s="1"/>
  <c r="G2168" i="1" s="1"/>
  <c r="G2169" i="1" s="1"/>
  <c r="G2170" i="1" s="1"/>
  <c r="G2171" i="1" s="1"/>
  <c r="G2172" i="1" s="1"/>
  <c r="G2173" i="1" s="1"/>
  <c r="G2174" i="1" s="1"/>
  <c r="G2175" i="1" s="1"/>
  <c r="G2176" i="1" s="1"/>
  <c r="G2177" i="1" s="1"/>
  <c r="G2178" i="1" s="1"/>
  <c r="G2179" i="1" s="1"/>
  <c r="G2180" i="1" s="1"/>
  <c r="G2181" i="1" s="1"/>
  <c r="G2182" i="1" s="1"/>
  <c r="G2183" i="1" s="1"/>
  <c r="G2184" i="1" s="1"/>
  <c r="G2185" i="1" s="1"/>
  <c r="G2186" i="1" s="1"/>
  <c r="G2187" i="1" s="1"/>
  <c r="G2188" i="1" s="1"/>
  <c r="G2189" i="1" s="1"/>
  <c r="G2190" i="1" s="1"/>
  <c r="G2191" i="1" s="1"/>
  <c r="G2192" i="1" s="1"/>
  <c r="G2193" i="1" s="1"/>
  <c r="G2194" i="1" s="1"/>
  <c r="G2195" i="1" s="1"/>
  <c r="G2196" i="1" s="1"/>
  <c r="G2197" i="1" s="1"/>
  <c r="G2198" i="1" s="1"/>
  <c r="G2199" i="1" s="1"/>
  <c r="G2200" i="1" s="1"/>
  <c r="G2201" i="1" s="1"/>
  <c r="G2202" i="1" s="1"/>
  <c r="G2203" i="1" s="1"/>
  <c r="G2204" i="1" s="1"/>
  <c r="G2205" i="1" s="1"/>
  <c r="G2206" i="1" s="1"/>
  <c r="G2207" i="1" s="1"/>
  <c r="G2208" i="1" s="1"/>
  <c r="G2209" i="1" s="1"/>
  <c r="G2210" i="1" s="1"/>
  <c r="G2211" i="1" s="1"/>
  <c r="G2212" i="1" s="1"/>
  <c r="G2213" i="1" s="1"/>
  <c r="G2214" i="1" s="1"/>
  <c r="G2215" i="1" s="1"/>
  <c r="G2216" i="1" s="1"/>
  <c r="G2217" i="1" s="1"/>
  <c r="G2218" i="1" s="1"/>
  <c r="G2219" i="1" s="1"/>
  <c r="G2220" i="1" s="1"/>
  <c r="G2221" i="1" s="1"/>
  <c r="G2222" i="1" s="1"/>
  <c r="G2223" i="1" s="1"/>
  <c r="G2224" i="1" s="1"/>
  <c r="G2225" i="1" s="1"/>
  <c r="G2226" i="1" s="1"/>
  <c r="G2227" i="1" s="1"/>
  <c r="G2228" i="1" l="1"/>
  <c r="G2229" i="1" s="1"/>
  <c r="G2230" i="1" s="1"/>
  <c r="G2231" i="1" s="1"/>
  <c r="G2232" i="1" s="1"/>
  <c r="G2235" i="1" s="1"/>
  <c r="G2236" i="1" s="1"/>
  <c r="G2237" i="1" s="1"/>
  <c r="G2238" i="1" s="1"/>
  <c r="G2239" i="1" s="1"/>
  <c r="G2240" i="1" s="1"/>
  <c r="G2241" i="1" s="1"/>
  <c r="G2242" i="1" s="1"/>
  <c r="G2243" i="1" s="1"/>
  <c r="G2244" i="1" s="1"/>
  <c r="G2245" i="1" s="1"/>
  <c r="G2246" i="1" s="1"/>
  <c r="G2247" i="1" s="1"/>
  <c r="G2248" i="1" s="1"/>
  <c r="G2249" i="1" s="1"/>
  <c r="G2250" i="1" s="1"/>
  <c r="G2251" i="1" s="1"/>
  <c r="G2252" i="1" s="1"/>
  <c r="G2253" i="1" s="1"/>
  <c r="G2254" i="1" s="1"/>
  <c r="G2255" i="1" s="1"/>
  <c r="G2256" i="1" s="1"/>
  <c r="G2257" i="1" s="1"/>
  <c r="G2258" i="1" s="1"/>
  <c r="G2259" i="1" s="1"/>
  <c r="G2260" i="1" s="1"/>
  <c r="G2261" i="1" l="1"/>
  <c r="G2262" i="1" s="1"/>
  <c r="G2263" i="1" s="1"/>
  <c r="G2264" i="1" s="1"/>
  <c r="G2265" i="1" s="1"/>
  <c r="G2266" i="1" s="1"/>
  <c r="G2267" i="1" s="1"/>
  <c r="G2268" i="1" s="1"/>
  <c r="G2269" i="1" l="1"/>
  <c r="G2270" i="1" s="1"/>
  <c r="G2271" i="1" s="1"/>
  <c r="G2272" i="1" s="1"/>
  <c r="G2273" i="1" s="1"/>
  <c r="G2274" i="1" s="1"/>
  <c r="G2275" i="1" s="1"/>
  <c r="G2276" i="1" s="1"/>
  <c r="G2277" i="1" s="1"/>
  <c r="G2278" i="1" s="1"/>
  <c r="G2279" i="1" s="1"/>
  <c r="G2280" i="1" s="1"/>
  <c r="G2281" i="1" s="1"/>
  <c r="G2282" i="1" s="1"/>
  <c r="G2283" i="1" s="1"/>
  <c r="G2284" i="1" s="1"/>
  <c r="G2285" i="1" s="1"/>
  <c r="G2286" i="1" s="1"/>
  <c r="G2287" i="1" s="1"/>
  <c r="G2288" i="1" s="1"/>
  <c r="G2289" i="1" s="1"/>
  <c r="G2290" i="1" s="1"/>
  <c r="G2291" i="1" s="1"/>
  <c r="G2292" i="1" s="1"/>
  <c r="G2293" i="1" s="1"/>
  <c r="G2294" i="1" s="1"/>
  <c r="G2295" i="1" s="1"/>
  <c r="G2296" i="1" s="1"/>
  <c r="G2297" i="1" l="1"/>
  <c r="G2298" i="1" s="1"/>
  <c r="G2299" i="1" s="1"/>
  <c r="G2300" i="1" s="1"/>
  <c r="G2301" i="1" l="1"/>
  <c r="G2302" i="1" s="1"/>
  <c r="G2303" i="1" s="1"/>
  <c r="G2304" i="1" s="1"/>
  <c r="G2305" i="1" s="1"/>
  <c r="G2306" i="1" s="1"/>
  <c r="G2307" i="1" s="1"/>
  <c r="G2308" i="1" s="1"/>
  <c r="G2309" i="1" s="1"/>
  <c r="G2310" i="1" s="1"/>
  <c r="G2311" i="1" s="1"/>
  <c r="G2312" i="1" s="1"/>
  <c r="G2313" i="1" s="1"/>
  <c r="G2314" i="1" s="1"/>
  <c r="G2315" i="1" s="1"/>
  <c r="G2316" i="1" s="1"/>
  <c r="G2319" i="1" s="1"/>
  <c r="G2320" i="1" s="1"/>
  <c r="G2321" i="1" l="1"/>
  <c r="G2322" i="1" s="1"/>
  <c r="G2323" i="1" s="1"/>
  <c r="G2324" i="1" s="1"/>
  <c r="G2325" i="1" s="1"/>
  <c r="G2326" i="1" s="1"/>
  <c r="G2327" i="1" s="1"/>
  <c r="G2328" i="1" s="1"/>
  <c r="G2329" i="1" s="1"/>
  <c r="G2330" i="1" s="1"/>
  <c r="G2331" i="1" s="1"/>
  <c r="G2332" i="1" s="1"/>
  <c r="G2333" i="1" s="1"/>
  <c r="G2334" i="1" s="1"/>
  <c r="G2335" i="1" s="1"/>
  <c r="G2336" i="1" s="1"/>
  <c r="G2337" i="1" s="1"/>
  <c r="G2338" i="1" s="1"/>
  <c r="G2339" i="1" s="1"/>
  <c r="G2340" i="1" s="1"/>
  <c r="G2341" i="1" s="1"/>
  <c r="G2342" i="1" s="1"/>
  <c r="G2343" i="1" s="1"/>
  <c r="G2344" i="1" s="1"/>
  <c r="G2345" i="1" s="1"/>
  <c r="G2346" i="1" s="1"/>
  <c r="G2347" i="1" s="1"/>
  <c r="G2348" i="1" s="1"/>
  <c r="G2349" i="1" s="1"/>
  <c r="G2350" i="1" s="1"/>
  <c r="G2351" i="1" s="1"/>
  <c r="G2352" i="1" s="1"/>
  <c r="G2353" i="1" s="1"/>
  <c r="G2354" i="1" s="1"/>
  <c r="G2355" i="1" s="1"/>
  <c r="G2356" i="1" s="1"/>
  <c r="G2357" i="1" s="1"/>
  <c r="G2358" i="1" s="1"/>
  <c r="G2359" i="1" s="1"/>
  <c r="G2360" i="1" s="1"/>
  <c r="G2361" i="1" s="1"/>
  <c r="G2362" i="1" s="1"/>
  <c r="G2363" i="1" s="1"/>
  <c r="G2364" i="1" s="1"/>
  <c r="G2365" i="1" s="1"/>
  <c r="G2366" i="1" s="1"/>
  <c r="G2367" i="1" l="1"/>
  <c r="G2368" i="1" s="1"/>
  <c r="G2369" i="1" s="1"/>
  <c r="G2370" i="1" s="1"/>
  <c r="G2371" i="1" s="1"/>
  <c r="G2372" i="1" s="1"/>
  <c r="G2373" i="1" s="1"/>
  <c r="G2374" i="1" s="1"/>
  <c r="G2375" i="1" s="1"/>
  <c r="G2376" i="1" s="1"/>
  <c r="G2377" i="1" s="1"/>
  <c r="G2378" i="1" s="1"/>
  <c r="G2379" i="1" s="1"/>
  <c r="G2380" i="1" s="1"/>
  <c r="G2381" i="1" s="1"/>
  <c r="G2382" i="1" s="1"/>
  <c r="G2383" i="1" s="1"/>
  <c r="G2384" i="1" s="1"/>
  <c r="G2385" i="1" s="1"/>
  <c r="G2386" i="1" s="1"/>
  <c r="G2387" i="1" s="1"/>
  <c r="G2388" i="1" s="1"/>
  <c r="G2389" i="1" s="1"/>
  <c r="G2390" i="1" s="1"/>
  <c r="G2391" i="1" s="1"/>
  <c r="G2392" i="1" s="1"/>
  <c r="G2393" i="1" s="1"/>
  <c r="G2394" i="1" s="1"/>
  <c r="G2395" i="1" s="1"/>
  <c r="G2396" i="1" s="1"/>
  <c r="G2397" i="1" s="1"/>
  <c r="G2398" i="1" s="1"/>
  <c r="G2399" i="1" s="1"/>
  <c r="G2400" i="1" s="1"/>
  <c r="G2401" i="1" s="1"/>
  <c r="G2402" i="1" s="1"/>
  <c r="G2403" i="1" s="1"/>
  <c r="G2404" i="1" s="1"/>
  <c r="G2405" i="1" s="1"/>
  <c r="G2406" i="1" s="1"/>
  <c r="G2407" i="1" s="1"/>
  <c r="G2408" i="1" s="1"/>
  <c r="G2409" i="1" s="1"/>
  <c r="G2410" i="1" s="1"/>
  <c r="G2411" i="1" s="1"/>
  <c r="G2412" i="1" s="1"/>
  <c r="G2413" i="1" s="1"/>
  <c r="G2414" i="1" s="1"/>
  <c r="G2415" i="1" s="1"/>
  <c r="G2416" i="1" s="1"/>
  <c r="G2417" i="1" s="1"/>
  <c r="G2418" i="1" s="1"/>
  <c r="G2419" i="1" s="1"/>
  <c r="G2420" i="1" s="1"/>
  <c r="G2421" i="1" s="1"/>
  <c r="G2422" i="1" s="1"/>
  <c r="G2423" i="1" s="1"/>
  <c r="G2424" i="1" s="1"/>
  <c r="G2425" i="1" s="1"/>
  <c r="G2426" i="1" s="1"/>
  <c r="G2427" i="1" s="1"/>
  <c r="G2428" i="1" s="1"/>
  <c r="G2429" i="1" s="1"/>
  <c r="G2430" i="1" s="1"/>
  <c r="G2431" i="1" s="1"/>
  <c r="G2432" i="1" s="1"/>
  <c r="G2433" i="1" s="1"/>
  <c r="G2434" i="1" l="1"/>
  <c r="G2435" i="1" s="1"/>
  <c r="G2436" i="1" s="1"/>
  <c r="G2437" i="1" s="1"/>
  <c r="G2438" i="1" l="1"/>
  <c r="G2439" i="1" s="1"/>
  <c r="G2440" i="1" s="1"/>
  <c r="G2441" i="1" s="1"/>
  <c r="G2442" i="1" s="1"/>
  <c r="G2443" i="1" s="1"/>
  <c r="G2444" i="1" s="1"/>
  <c r="G2445" i="1" s="1"/>
  <c r="G2446" i="1" s="1"/>
  <c r="G2447" i="1" s="1"/>
  <c r="G2448" i="1" s="1"/>
  <c r="G2449" i="1" s="1"/>
  <c r="G2450" i="1" s="1"/>
  <c r="G2451" i="1" s="1"/>
  <c r="G2452" i="1" s="1"/>
  <c r="G2453" i="1" s="1"/>
  <c r="G2454" i="1" s="1"/>
  <c r="G2455" i="1" s="1"/>
  <c r="G2456" i="1" s="1"/>
  <c r="G2457" i="1" s="1"/>
  <c r="G2458" i="1" s="1"/>
  <c r="G2459" i="1" s="1"/>
  <c r="G2460" i="1" s="1"/>
  <c r="G2461" i="1" s="1"/>
  <c r="G2462" i="1" s="1"/>
  <c r="G2463" i="1" s="1"/>
  <c r="G2464" i="1" s="1"/>
  <c r="G2465" i="1" s="1"/>
  <c r="G2466" i="1" s="1"/>
  <c r="G2467" i="1" s="1"/>
  <c r="G2468" i="1" s="1"/>
  <c r="G2469" i="1" s="1"/>
  <c r="G2470" i="1" s="1"/>
  <c r="G2471" i="1" s="1"/>
  <c r="G2472" i="1" s="1"/>
  <c r="G2473" i="1" s="1"/>
  <c r="G2474" i="1" s="1"/>
  <c r="G2475" i="1" s="1"/>
  <c r="G2476" i="1" s="1"/>
  <c r="G2477" i="1" s="1"/>
  <c r="G2478" i="1" s="1"/>
  <c r="G2479" i="1" s="1"/>
  <c r="G2480" i="1" s="1"/>
  <c r="G2481" i="1" s="1"/>
  <c r="G2482" i="1" s="1"/>
  <c r="G2483" i="1" s="1"/>
  <c r="G2484" i="1" s="1"/>
  <c r="G2485" i="1" s="1"/>
  <c r="G2486" i="1" s="1"/>
  <c r="G2487" i="1" s="1"/>
  <c r="G2488" i="1" s="1"/>
  <c r="G2489" i="1" s="1"/>
  <c r="G2490" i="1" s="1"/>
  <c r="G2491" i="1" s="1"/>
  <c r="G2492" i="1" s="1"/>
  <c r="G2493" i="1" s="1"/>
  <c r="G2494" i="1" s="1"/>
  <c r="G2495" i="1" s="1"/>
  <c r="G2496" i="1" s="1"/>
  <c r="G2497" i="1" s="1"/>
  <c r="G2498" i="1" s="1"/>
  <c r="G2499" i="1" s="1"/>
  <c r="G2500" i="1" s="1"/>
  <c r="G2501" i="1" s="1"/>
  <c r="G2502" i="1" s="1"/>
  <c r="G2503" i="1" s="1"/>
  <c r="G2504" i="1" s="1"/>
  <c r="G2505" i="1" s="1"/>
  <c r="G2506" i="1" s="1"/>
  <c r="G2507" i="1" s="1"/>
  <c r="G2508" i="1" s="1"/>
  <c r="G2509" i="1" s="1"/>
  <c r="G2510" i="1" s="1"/>
  <c r="I2438" i="1"/>
  <c r="G2511" i="1" l="1"/>
  <c r="G2512" i="1" s="1"/>
  <c r="G2513" i="1" s="1"/>
  <c r="G2514" i="1" s="1"/>
  <c r="G2515" i="1" s="1"/>
  <c r="G2516" i="1" s="1"/>
  <c r="G2517" i="1" s="1"/>
  <c r="G2518" i="1" s="1"/>
  <c r="G2519" i="1" s="1"/>
  <c r="G2520" i="1" s="1"/>
  <c r="G2521" i="1" s="1"/>
  <c r="G2522" i="1" s="1"/>
  <c r="G2523" i="1" s="1"/>
  <c r="G2524" i="1" s="1"/>
  <c r="G2525" i="1" s="1"/>
  <c r="G2526" i="1" s="1"/>
  <c r="G2527" i="1" s="1"/>
  <c r="G2528" i="1" s="1"/>
  <c r="G2529" i="1" s="1"/>
  <c r="G2530" i="1" s="1"/>
  <c r="G2531" i="1" s="1"/>
  <c r="G2532" i="1" s="1"/>
  <c r="G2533" i="1" s="1"/>
  <c r="G2534" i="1" s="1"/>
  <c r="G2535" i="1" s="1"/>
  <c r="G2536" i="1" s="1"/>
  <c r="G2537" i="1" s="1"/>
  <c r="G2538" i="1" s="1"/>
  <c r="G2539" i="1" s="1"/>
  <c r="G2540" i="1" s="1"/>
  <c r="G2541" i="1" s="1"/>
  <c r="G2542" i="1" s="1"/>
  <c r="G2543" i="1" s="1"/>
  <c r="G2544" i="1" s="1"/>
  <c r="G2545" i="1" s="1"/>
  <c r="G2546" i="1" s="1"/>
  <c r="G2547" i="1" s="1"/>
  <c r="G2548" i="1" s="1"/>
  <c r="G2549" i="1" s="1"/>
  <c r="G2550" i="1" s="1"/>
  <c r="G2551" i="1" s="1"/>
  <c r="G2552" i="1" s="1"/>
  <c r="G2553" i="1" s="1"/>
  <c r="G2554" i="1" s="1"/>
  <c r="G2555" i="1" s="1"/>
  <c r="G2556" i="1" s="1"/>
  <c r="G2557" i="1" s="1"/>
  <c r="G2558" i="1" s="1"/>
  <c r="G2559" i="1" s="1"/>
  <c r="G2560" i="1" s="1"/>
  <c r="G2561" i="1" s="1"/>
  <c r="G2562" i="1" s="1"/>
  <c r="G2563" i="1" s="1"/>
  <c r="G2564" i="1" s="1"/>
  <c r="G2565" i="1" s="1"/>
  <c r="G2566" i="1" s="1"/>
  <c r="G2567" i="1" s="1"/>
  <c r="G2568" i="1" s="1"/>
  <c r="G2569" i="1" s="1"/>
  <c r="G2570" i="1" s="1"/>
  <c r="G2571" i="1" s="1"/>
  <c r="G2572" i="1" s="1"/>
  <c r="G2573" i="1" s="1"/>
  <c r="G2574" i="1" s="1"/>
  <c r="G2575" i="1" s="1"/>
  <c r="G2576" i="1" s="1"/>
  <c r="G2577" i="1" s="1"/>
  <c r="G2578" i="1" s="1"/>
  <c r="G2579" i="1" s="1"/>
  <c r="G2580" i="1" s="1"/>
  <c r="G2581" i="1" s="1"/>
  <c r="G2582" i="1" s="1"/>
  <c r="G2583" i="1" s="1"/>
  <c r="G2584" i="1" s="1"/>
  <c r="G2585" i="1" s="1"/>
  <c r="G2586" i="1" s="1"/>
  <c r="G2587" i="1" s="1"/>
  <c r="G2588" i="1" s="1"/>
  <c r="G2589" i="1" s="1"/>
  <c r="G2590" i="1" s="1"/>
  <c r="G2591" i="1" s="1"/>
  <c r="G2592" i="1" s="1"/>
  <c r="G2593" i="1" s="1"/>
  <c r="G2594" i="1" s="1"/>
  <c r="G2595" i="1" s="1"/>
  <c r="G2596" i="1" s="1"/>
  <c r="G2597" i="1" s="1"/>
  <c r="G2598" i="1" s="1"/>
  <c r="G2599" i="1" s="1"/>
  <c r="G2600" i="1" s="1"/>
  <c r="G2601" i="1" s="1"/>
  <c r="G2602" i="1" s="1"/>
  <c r="G2603" i="1" s="1"/>
  <c r="G2604" i="1" s="1"/>
  <c r="G2605" i="1" s="1"/>
  <c r="G2606" i="1" s="1"/>
  <c r="G2607" i="1" s="1"/>
  <c r="G2608" i="1" s="1"/>
  <c r="G2609" i="1" s="1"/>
  <c r="G2610" i="1" s="1"/>
  <c r="G2611" i="1" s="1"/>
  <c r="G2612" i="1" s="1"/>
  <c r="G2613" i="1" s="1"/>
  <c r="G2614" i="1" s="1"/>
  <c r="G2615" i="1" s="1"/>
  <c r="G2616" i="1" s="1"/>
  <c r="G2617" i="1" s="1"/>
  <c r="G2618" i="1" s="1"/>
  <c r="G2619" i="1" s="1"/>
  <c r="G2620" i="1" s="1"/>
  <c r="G2621" i="1" s="1"/>
  <c r="G2622" i="1" s="1"/>
  <c r="G2623" i="1" s="1"/>
  <c r="G2624" i="1" s="1"/>
  <c r="G2625" i="1" s="1"/>
  <c r="G2626" i="1" s="1"/>
  <c r="G2627" i="1" s="1"/>
  <c r="G2628" i="1" s="1"/>
  <c r="G2629" i="1" s="1"/>
  <c r="G2630" i="1" s="1"/>
  <c r="G2631" i="1" s="1"/>
  <c r="G2632" i="1" s="1"/>
  <c r="G2633" i="1" s="1"/>
  <c r="G2634" i="1" s="1"/>
  <c r="G2635" i="1" s="1"/>
  <c r="G2636" i="1" s="1"/>
  <c r="G2637" i="1" s="1"/>
  <c r="G2638" i="1" s="1"/>
  <c r="G2639" i="1" s="1"/>
  <c r="G2640" i="1" s="1"/>
  <c r="G2641" i="1" s="1"/>
  <c r="G2642" i="1" s="1"/>
  <c r="G2643" i="1" s="1"/>
  <c r="G2644" i="1" s="1"/>
  <c r="G2645" i="1" s="1"/>
  <c r="G2646" i="1" s="1"/>
  <c r="G2647" i="1" s="1"/>
  <c r="G2648" i="1" s="1"/>
  <c r="G2649" i="1" s="1"/>
  <c r="G2650" i="1" s="1"/>
  <c r="G2651" i="1" s="1"/>
  <c r="G2652" i="1" s="1"/>
  <c r="G2653" i="1" s="1"/>
  <c r="G2654" i="1" s="1"/>
  <c r="G2655" i="1" s="1"/>
  <c r="G2656" i="1" s="1"/>
  <c r="G2657" i="1" s="1"/>
  <c r="G2658" i="1" s="1"/>
  <c r="G2659" i="1" s="1"/>
  <c r="G2660" i="1" s="1"/>
  <c r="G2661" i="1" s="1"/>
  <c r="G2662" i="1" s="1"/>
  <c r="G2663" i="1" s="1"/>
  <c r="G2664" i="1" s="1"/>
  <c r="G2665" i="1" s="1"/>
  <c r="G2666" i="1" s="1"/>
  <c r="G2667" i="1" s="1"/>
  <c r="G2668" i="1" s="1"/>
  <c r="G2669" i="1" s="1"/>
  <c r="G2670" i="1" s="1"/>
  <c r="G2671" i="1" s="1"/>
  <c r="G2672" i="1" s="1"/>
  <c r="G2673" i="1" s="1"/>
  <c r="G2674" i="1" s="1"/>
  <c r="G2675" i="1" s="1"/>
  <c r="G2676" i="1" s="1"/>
  <c r="G2677" i="1" s="1"/>
  <c r="G2678" i="1" s="1"/>
  <c r="G2679" i="1" s="1"/>
  <c r="G2680" i="1" s="1"/>
  <c r="G2681" i="1" s="1"/>
  <c r="G2682" i="1" s="1"/>
  <c r="G2683" i="1" s="1"/>
  <c r="G2684" i="1" s="1"/>
  <c r="G2685" i="1" s="1"/>
  <c r="G2686" i="1" s="1"/>
  <c r="G2687" i="1" s="1"/>
  <c r="G2688" i="1" s="1"/>
  <c r="G2689" i="1" s="1"/>
  <c r="G2690" i="1" s="1"/>
  <c r="G2691" i="1" s="1"/>
  <c r="G2692" i="1" s="1"/>
  <c r="G2693" i="1" s="1"/>
  <c r="G2694" i="1" s="1"/>
  <c r="G2695" i="1" s="1"/>
  <c r="G2696" i="1" s="1"/>
  <c r="G2697" i="1" s="1"/>
  <c r="G2698" i="1" s="1"/>
  <c r="G2699" i="1" s="1"/>
  <c r="G2700" i="1" s="1"/>
  <c r="G2701" i="1" s="1"/>
  <c r="G2702" i="1" s="1"/>
  <c r="G2703" i="1" s="1"/>
  <c r="G2704" i="1" s="1"/>
  <c r="G2705" i="1" s="1"/>
  <c r="G2706" i="1" s="1"/>
  <c r="G2707" i="1" s="1"/>
  <c r="G2708" i="1" s="1"/>
  <c r="G2709" i="1" s="1"/>
  <c r="G2710" i="1" s="1"/>
  <c r="G2711" i="1" s="1"/>
  <c r="G2712" i="1" s="1"/>
  <c r="G2713" i="1" s="1"/>
  <c r="G2714" i="1" s="1"/>
  <c r="G2715" i="1" s="1"/>
  <c r="G2716" i="1" s="1"/>
  <c r="G2717" i="1" s="1"/>
  <c r="G2718" i="1" s="1"/>
  <c r="G2719" i="1" s="1"/>
  <c r="G2720" i="1" s="1"/>
  <c r="G2721" i="1" s="1"/>
  <c r="G2722" i="1" s="1"/>
  <c r="G2723" i="1" s="1"/>
  <c r="G2724" i="1" s="1"/>
  <c r="G2725" i="1" s="1"/>
  <c r="G2726" i="1" s="1"/>
  <c r="G2727" i="1" s="1"/>
  <c r="G2728" i="1" s="1"/>
  <c r="G2729" i="1" s="1"/>
  <c r="G2730" i="1" s="1"/>
  <c r="G2731" i="1" s="1"/>
  <c r="G2732" i="1" s="1"/>
  <c r="G2733" i="1" s="1"/>
  <c r="G2734" i="1" s="1"/>
  <c r="G2735" i="1" s="1"/>
  <c r="G2736" i="1" s="1"/>
  <c r="G2737" i="1" s="1"/>
  <c r="G2738" i="1" s="1"/>
  <c r="G2739" i="1" s="1"/>
  <c r="G2740" i="1" s="1"/>
  <c r="G2741" i="1" s="1"/>
  <c r="G2742" i="1" s="1"/>
  <c r="G2743" i="1" s="1"/>
  <c r="G2744" i="1" s="1"/>
  <c r="G2745" i="1" s="1"/>
  <c r="G2746" i="1" s="1"/>
  <c r="G2747" i="1" s="1"/>
  <c r="G2748" i="1" s="1"/>
  <c r="G2749" i="1" s="1"/>
  <c r="G2750" i="1" s="1"/>
  <c r="G2751" i="1" s="1"/>
  <c r="G2752" i="1" s="1"/>
  <c r="G2753" i="1" s="1"/>
  <c r="G2754" i="1" s="1"/>
  <c r="G2755" i="1" s="1"/>
  <c r="G2756" i="1" s="1"/>
  <c r="G2757" i="1" s="1"/>
  <c r="G2758" i="1" s="1"/>
  <c r="G2759" i="1" s="1"/>
  <c r="G2760" i="1" s="1"/>
  <c r="G2761" i="1" s="1"/>
  <c r="G2762" i="1" s="1"/>
  <c r="G2763" i="1" s="1"/>
  <c r="G2764" i="1" s="1"/>
  <c r="G2765" i="1" s="1"/>
  <c r="G2766" i="1" s="1"/>
  <c r="G2767" i="1" s="1"/>
  <c r="G2768" i="1" s="1"/>
  <c r="G2769" i="1" s="1"/>
  <c r="G2770" i="1" s="1"/>
  <c r="G2771" i="1" s="1"/>
  <c r="G2772" i="1" s="1"/>
  <c r="G2773" i="1" s="1"/>
  <c r="G2774" i="1" s="1"/>
  <c r="G2775" i="1" s="1"/>
  <c r="G2776" i="1" s="1"/>
  <c r="G2777" i="1" s="1"/>
  <c r="G2778" i="1" s="1"/>
  <c r="G2779" i="1" s="1"/>
  <c r="G2780" i="1" s="1"/>
  <c r="G2781" i="1" s="1"/>
  <c r="G2782" i="1" s="1"/>
  <c r="G2783" i="1" s="1"/>
  <c r="G2784" i="1" s="1"/>
  <c r="G2785" i="1" s="1"/>
  <c r="G2786" i="1" s="1"/>
  <c r="G2787" i="1" s="1"/>
  <c r="G2788" i="1" s="1"/>
  <c r="G2789" i="1" s="1"/>
  <c r="G2790" i="1" s="1"/>
  <c r="G2791" i="1" s="1"/>
  <c r="G2792" i="1" s="1"/>
  <c r="G2793" i="1" s="1"/>
  <c r="G2794" i="1" s="1"/>
  <c r="G2795" i="1" s="1"/>
  <c r="G2796" i="1" s="1"/>
  <c r="G2797" i="1" s="1"/>
  <c r="G2798" i="1" s="1"/>
  <c r="G2799" i="1" s="1"/>
  <c r="G2800" i="1" s="1"/>
  <c r="G2801" i="1" s="1"/>
  <c r="G2802" i="1" s="1"/>
  <c r="G2803" i="1" s="1"/>
  <c r="G2804" i="1" s="1"/>
  <c r="G2805" i="1" s="1"/>
  <c r="G2806" i="1" s="1"/>
  <c r="G2807" i="1" s="1"/>
  <c r="G2808" i="1" s="1"/>
  <c r="G2809" i="1" s="1"/>
  <c r="G2810" i="1" s="1"/>
  <c r="G2811" i="1" s="1"/>
  <c r="G2812" i="1" s="1"/>
  <c r="G2813" i="1" s="1"/>
  <c r="G2814" i="1" s="1"/>
  <c r="G2815" i="1" s="1"/>
  <c r="G2816" i="1" s="1"/>
  <c r="G2817" i="1" s="1"/>
  <c r="G2818" i="1" s="1"/>
  <c r="G2819" i="1" s="1"/>
  <c r="G2820" i="1" s="1"/>
  <c r="G2821" i="1" s="1"/>
  <c r="G2822" i="1" s="1"/>
  <c r="G2823" i="1" s="1"/>
  <c r="G2824" i="1" s="1"/>
  <c r="G2825" i="1" s="1"/>
  <c r="G2826" i="1" s="1"/>
  <c r="G2827" i="1" s="1"/>
  <c r="G2828" i="1" s="1"/>
  <c r="G2829" i="1" s="1"/>
  <c r="G2830" i="1" s="1"/>
  <c r="G2831" i="1" s="1"/>
  <c r="G2832" i="1" s="1"/>
  <c r="G2833" i="1" s="1"/>
  <c r="G2834" i="1" s="1"/>
  <c r="G2835" i="1" s="1"/>
  <c r="G2836" i="1" s="1"/>
  <c r="G2837" i="1" s="1"/>
  <c r="G2838" i="1" s="1"/>
  <c r="G2839" i="1" s="1"/>
  <c r="G2840" i="1" s="1"/>
  <c r="G2841" i="1" s="1"/>
  <c r="G2842" i="1" s="1"/>
  <c r="G2843" i="1" s="1"/>
  <c r="G2844" i="1" s="1"/>
  <c r="G2845" i="1" s="1"/>
  <c r="G2846" i="1" s="1"/>
  <c r="G2847" i="1" s="1"/>
  <c r="G2848" i="1" s="1"/>
  <c r="G2849" i="1" s="1"/>
  <c r="G2850" i="1" s="1"/>
  <c r="G2851" i="1" s="1"/>
  <c r="G2852" i="1" s="1"/>
  <c r="G2853" i="1" s="1"/>
  <c r="G2854" i="1" s="1"/>
  <c r="G2855" i="1" s="1"/>
  <c r="G2856" i="1" s="1"/>
  <c r="G2857" i="1" s="1"/>
  <c r="G2858" i="1" s="1"/>
  <c r="G2859" i="1" s="1"/>
  <c r="G2860" i="1" s="1"/>
  <c r="G2861" i="1" s="1"/>
  <c r="G2862" i="1" s="1"/>
  <c r="G2863" i="1" s="1"/>
  <c r="G2864" i="1" s="1"/>
  <c r="G2865" i="1" s="1"/>
  <c r="G2866" i="1" s="1"/>
  <c r="G2867" i="1" s="1"/>
  <c r="G2868" i="1" s="1"/>
  <c r="G2869" i="1" s="1"/>
  <c r="G2870" i="1" s="1"/>
  <c r="G2871" i="1" s="1"/>
  <c r="G2872" i="1" s="1"/>
  <c r="G2873" i="1" s="1"/>
  <c r="G2874" i="1" s="1"/>
  <c r="G2875" i="1" s="1"/>
  <c r="G2876" i="1" s="1"/>
  <c r="G2877" i="1" s="1"/>
  <c r="G2878" i="1" s="1"/>
  <c r="G2879" i="1" s="1"/>
  <c r="G2880" i="1" s="1"/>
  <c r="G2881" i="1" s="1"/>
  <c r="G2882" i="1" s="1"/>
  <c r="G2883" i="1" s="1"/>
  <c r="G2884" i="1" s="1"/>
  <c r="G2885" i="1" s="1"/>
  <c r="G2886" i="1" s="1"/>
  <c r="G2887" i="1" s="1"/>
  <c r="G2888" i="1" s="1"/>
  <c r="G2889" i="1" s="1"/>
  <c r="G2890" i="1" s="1"/>
  <c r="G2891" i="1" s="1"/>
  <c r="G2892" i="1" s="1"/>
  <c r="G2893" i="1" s="1"/>
  <c r="G2894" i="1" s="1"/>
  <c r="G2895" i="1" s="1"/>
  <c r="G2896" i="1" s="1"/>
  <c r="G2897" i="1" s="1"/>
  <c r="G2898" i="1" s="1"/>
  <c r="G2899" i="1" s="1"/>
  <c r="G2900" i="1" s="1"/>
  <c r="G2901" i="1" s="1"/>
  <c r="G2902" i="1" s="1"/>
  <c r="G2903" i="1" s="1"/>
  <c r="G2904" i="1" s="1"/>
  <c r="G2905" i="1" s="1"/>
  <c r="G2906" i="1" s="1"/>
  <c r="G2907" i="1" s="1"/>
  <c r="G2908" i="1" s="1"/>
  <c r="G2909" i="1" s="1"/>
  <c r="G2910" i="1" s="1"/>
  <c r="G2911" i="1" s="1"/>
  <c r="G2912" i="1" s="1"/>
  <c r="G2913" i="1" s="1"/>
  <c r="G2914" i="1" s="1"/>
  <c r="G2915" i="1" s="1"/>
  <c r="G2916" i="1" s="1"/>
  <c r="G2917" i="1" s="1"/>
  <c r="G2918" i="1" s="1"/>
  <c r="G2919" i="1" s="1"/>
  <c r="G2920" i="1" s="1"/>
  <c r="G2921" i="1" s="1"/>
  <c r="G2922" i="1" s="1"/>
  <c r="G2923" i="1" s="1"/>
  <c r="G2924" i="1" s="1"/>
  <c r="G2925" i="1" s="1"/>
  <c r="G2926" i="1" s="1"/>
  <c r="G2927" i="1" s="1"/>
  <c r="G2928" i="1" s="1"/>
  <c r="G2929" i="1" s="1"/>
  <c r="G2930" i="1" s="1"/>
  <c r="G2931" i="1" s="1"/>
  <c r="G2932" i="1" s="1"/>
  <c r="G2933" i="1" s="1"/>
  <c r="G2934" i="1" s="1"/>
  <c r="G2935" i="1" s="1"/>
  <c r="G2936" i="1" s="1"/>
  <c r="G2937" i="1" s="1"/>
  <c r="G2938" i="1" s="1"/>
  <c r="G2939" i="1" s="1"/>
  <c r="G2940" i="1" s="1"/>
  <c r="G2941" i="1" s="1"/>
  <c r="G2942" i="1" s="1"/>
  <c r="G2943" i="1" s="1"/>
  <c r="G2944" i="1" s="1"/>
  <c r="G2945" i="1" s="1"/>
  <c r="G2946" i="1" s="1"/>
  <c r="G2947" i="1" s="1"/>
  <c r="G2948" i="1" s="1"/>
  <c r="G2949" i="1" s="1"/>
  <c r="G2950" i="1" s="1"/>
  <c r="G2951" i="1" s="1"/>
  <c r="G2952" i="1" s="1"/>
  <c r="G2953" i="1" s="1"/>
  <c r="G2954" i="1" s="1"/>
  <c r="G2955" i="1" s="1"/>
  <c r="G2956" i="1" s="1"/>
  <c r="G2957" i="1" s="1"/>
  <c r="G2958" i="1" s="1"/>
  <c r="G2959" i="1" s="1"/>
  <c r="G2960" i="1" s="1"/>
  <c r="G2961" i="1" s="1"/>
  <c r="G2962" i="1" s="1"/>
  <c r="G2963" i="1" s="1"/>
  <c r="G2964" i="1" s="1"/>
  <c r="G2965" i="1" s="1"/>
  <c r="G2966" i="1" s="1"/>
  <c r="G2967" i="1" s="1"/>
  <c r="G2968" i="1" s="1"/>
  <c r="G2969" i="1" s="1"/>
  <c r="G2970" i="1" s="1"/>
  <c r="G2971" i="1" s="1"/>
  <c r="G2972" i="1" s="1"/>
  <c r="G2973" i="1" s="1"/>
  <c r="G2974" i="1" s="1"/>
  <c r="G2975" i="1" s="1"/>
  <c r="G2976" i="1" s="1"/>
  <c r="G2977" i="1" s="1"/>
  <c r="G2978" i="1" s="1"/>
  <c r="G2979" i="1" s="1"/>
  <c r="G2980" i="1" s="1"/>
  <c r="G2981" i="1" s="1"/>
  <c r="G2982" i="1" s="1"/>
  <c r="G2983" i="1" s="1"/>
  <c r="G2984" i="1" s="1"/>
  <c r="G2985" i="1" s="1"/>
  <c r="G2986" i="1" s="1"/>
  <c r="G2987" i="1" s="1"/>
  <c r="G2988" i="1" s="1"/>
  <c r="G2989" i="1" s="1"/>
  <c r="G2990" i="1" s="1"/>
  <c r="G2991" i="1" s="1"/>
  <c r="G2992" i="1" s="1"/>
  <c r="G2993" i="1" s="1"/>
  <c r="G2994" i="1" s="1"/>
  <c r="G2995" i="1" s="1"/>
  <c r="G2996" i="1" s="1"/>
  <c r="G2997" i="1" s="1"/>
  <c r="G2998" i="1" s="1"/>
  <c r="G2999" i="1" s="1"/>
  <c r="G3000" i="1" s="1"/>
  <c r="G3001" i="1" s="1"/>
  <c r="G3002" i="1" s="1"/>
  <c r="G3003" i="1" s="1"/>
  <c r="G3004" i="1" s="1"/>
  <c r="G3005" i="1" s="1"/>
  <c r="G3006" i="1" s="1"/>
  <c r="G3007" i="1" s="1"/>
  <c r="G3008" i="1" s="1"/>
  <c r="G3009" i="1" s="1"/>
  <c r="G3010" i="1" s="1"/>
  <c r="G3011" i="1" s="1"/>
  <c r="G3012" i="1" s="1"/>
  <c r="G3013" i="1" s="1"/>
  <c r="G3014" i="1" s="1"/>
  <c r="G3015" i="1" s="1"/>
  <c r="G3016" i="1" s="1"/>
  <c r="G3017" i="1" s="1"/>
  <c r="G3018" i="1" s="1"/>
  <c r="G3019" i="1" s="1"/>
  <c r="G3020" i="1" s="1"/>
  <c r="G3021" i="1" s="1"/>
  <c r="G3022" i="1" s="1"/>
  <c r="G3023" i="1" s="1"/>
  <c r="G3024" i="1" s="1"/>
  <c r="G3025" i="1" s="1"/>
  <c r="G3026" i="1" s="1"/>
  <c r="G3027" i="1" s="1"/>
  <c r="G3028" i="1" s="1"/>
  <c r="G3029" i="1" s="1"/>
  <c r="G3030" i="1" s="1"/>
  <c r="G3031" i="1" s="1"/>
  <c r="G3032" i="1" s="1"/>
  <c r="G3033" i="1" s="1"/>
  <c r="G3034" i="1" s="1"/>
  <c r="G3035" i="1" s="1"/>
  <c r="G3036" i="1" s="1"/>
  <c r="G3037" i="1" s="1"/>
  <c r="G3038" i="1" s="1"/>
  <c r="G3039" i="1" s="1"/>
  <c r="G3040" i="1" s="1"/>
  <c r="G3041" i="1" s="1"/>
  <c r="G3042" i="1" s="1"/>
  <c r="G3043" i="1" s="1"/>
  <c r="G3044" i="1" s="1"/>
  <c r="G3045" i="1" s="1"/>
  <c r="G3046" i="1" s="1"/>
  <c r="G3047" i="1" s="1"/>
  <c r="G3048" i="1" s="1"/>
  <c r="G3049" i="1" s="1"/>
  <c r="G3050" i="1" s="1"/>
  <c r="G3051" i="1" s="1"/>
  <c r="G3052" i="1" s="1"/>
  <c r="G3053" i="1" s="1"/>
  <c r="G3054" i="1" s="1"/>
  <c r="G3055" i="1" s="1"/>
  <c r="G3056" i="1" s="1"/>
  <c r="G3057" i="1" s="1"/>
  <c r="G3058" i="1" s="1"/>
  <c r="G3059" i="1" s="1"/>
  <c r="G3060" i="1" s="1"/>
  <c r="G3061" i="1" s="1"/>
  <c r="G3062" i="1" s="1"/>
  <c r="G3063" i="1" s="1"/>
  <c r="G3064" i="1" s="1"/>
  <c r="G3065" i="1" s="1"/>
  <c r="G3066" i="1" s="1"/>
  <c r="G3067" i="1" s="1"/>
  <c r="G3068" i="1" s="1"/>
  <c r="G3069" i="1" s="1"/>
  <c r="G3070" i="1" s="1"/>
  <c r="G3071" i="1" s="1"/>
  <c r="G3072" i="1" s="1"/>
  <c r="G3073" i="1" s="1"/>
  <c r="G3074" i="1" s="1"/>
  <c r="G3075" i="1" s="1"/>
  <c r="G3076" i="1" s="1"/>
  <c r="G3077" i="1" s="1"/>
  <c r="G3078" i="1" s="1"/>
  <c r="G3079" i="1" s="1"/>
  <c r="G3080" i="1" s="1"/>
  <c r="G3081" i="1" s="1"/>
  <c r="G3082" i="1" s="1"/>
  <c r="G3083" i="1" s="1"/>
  <c r="G3084" i="1" s="1"/>
  <c r="G3085" i="1" s="1"/>
  <c r="G3086" i="1" s="1"/>
  <c r="G3087" i="1" s="1"/>
  <c r="G3088" i="1" s="1"/>
  <c r="G3089" i="1" s="1"/>
  <c r="G3090" i="1" s="1"/>
  <c r="G3091" i="1" s="1"/>
  <c r="G3092" i="1" s="1"/>
  <c r="G3093" i="1" s="1"/>
  <c r="G3094" i="1" s="1"/>
  <c r="G3095" i="1" s="1"/>
  <c r="G3096" i="1" s="1"/>
  <c r="G3097" i="1" s="1"/>
  <c r="G3098" i="1" s="1"/>
  <c r="G3099" i="1" s="1"/>
  <c r="G3100" i="1" s="1"/>
  <c r="G3101" i="1" s="1"/>
  <c r="G3102" i="1" s="1"/>
  <c r="G3103" i="1" s="1"/>
  <c r="G3104" i="1" s="1"/>
  <c r="G3105" i="1" s="1"/>
  <c r="G3106" i="1" s="1"/>
  <c r="G3107" i="1" s="1"/>
  <c r="G3108" i="1" s="1"/>
  <c r="G3109" i="1" s="1"/>
  <c r="G3110" i="1" s="1"/>
  <c r="G3111" i="1" s="1"/>
  <c r="G3112" i="1" s="1"/>
  <c r="G3113" i="1" s="1"/>
  <c r="G3114" i="1" s="1"/>
  <c r="G3115" i="1" s="1"/>
  <c r="G3116" i="1" s="1"/>
  <c r="G3117" i="1" s="1"/>
  <c r="G3118" i="1" s="1"/>
  <c r="G3119" i="1" s="1"/>
  <c r="G3120" i="1" s="1"/>
  <c r="G3121" i="1" s="1"/>
  <c r="G3122" i="1" s="1"/>
  <c r="G3123" i="1" s="1"/>
  <c r="G3124" i="1" s="1"/>
  <c r="G3125" i="1" s="1"/>
  <c r="G3126" i="1" s="1"/>
  <c r="G3127" i="1" s="1"/>
  <c r="G3128" i="1" s="1"/>
  <c r="G3129" i="1" s="1"/>
  <c r="G3130" i="1" s="1"/>
  <c r="G3131" i="1" s="1"/>
  <c r="G3132" i="1" s="1"/>
  <c r="G3133" i="1" s="1"/>
  <c r="G3134" i="1" s="1"/>
  <c r="G3135" i="1" s="1"/>
  <c r="G3136" i="1" s="1"/>
  <c r="G3137" i="1" s="1"/>
  <c r="G3138" i="1" s="1"/>
  <c r="G3139" i="1" s="1"/>
  <c r="G3140" i="1" s="1"/>
  <c r="G3141" i="1" s="1"/>
  <c r="G3142" i="1" s="1"/>
  <c r="G3143" i="1" s="1"/>
  <c r="G3144" i="1" s="1"/>
  <c r="G3145" i="1" s="1"/>
  <c r="G3146" i="1" s="1"/>
  <c r="G3147" i="1" s="1"/>
  <c r="G3148" i="1" s="1"/>
  <c r="G3149" i="1" s="1"/>
  <c r="G3150" i="1" s="1"/>
  <c r="G3151" i="1" s="1"/>
  <c r="G3152" i="1" s="1"/>
  <c r="G3153" i="1" s="1"/>
  <c r="G3154" i="1" s="1"/>
  <c r="G3155" i="1" s="1"/>
  <c r="G3156" i="1" s="1"/>
  <c r="G3157" i="1" s="1"/>
  <c r="G3158" i="1" s="1"/>
  <c r="G3159" i="1" s="1"/>
  <c r="G3160" i="1" s="1"/>
  <c r="G3161" i="1" s="1"/>
  <c r="G3162" i="1" s="1"/>
  <c r="G3163" i="1" s="1"/>
  <c r="G3164" i="1" s="1"/>
  <c r="G3165" i="1" s="1"/>
  <c r="G3166" i="1" s="1"/>
  <c r="G3167" i="1" s="1"/>
  <c r="G3168" i="1" s="1"/>
  <c r="G3169" i="1" s="1"/>
  <c r="G3170" i="1" s="1"/>
  <c r="G3171" i="1" s="1"/>
  <c r="G3172" i="1" s="1"/>
  <c r="G3173" i="1" s="1"/>
  <c r="G3174" i="1" s="1"/>
  <c r="G3175" i="1" s="1"/>
  <c r="G3176" i="1" s="1"/>
  <c r="G3177" i="1" s="1"/>
  <c r="G3178" i="1" s="1"/>
  <c r="G3179" i="1" s="1"/>
  <c r="G3180" i="1" s="1"/>
  <c r="G3181" i="1" s="1"/>
  <c r="G3182" i="1" s="1"/>
  <c r="G3183" i="1" s="1"/>
  <c r="G3184" i="1" s="1"/>
  <c r="G3185" i="1" s="1"/>
  <c r="G3186" i="1" s="1"/>
  <c r="G3187" i="1" s="1"/>
  <c r="G3188" i="1" s="1"/>
  <c r="G3189" i="1" s="1"/>
  <c r="G3190" i="1" s="1"/>
  <c r="G3191" i="1" s="1"/>
  <c r="G3192" i="1" s="1"/>
  <c r="G3193" i="1" s="1"/>
  <c r="G3194" i="1" s="1"/>
  <c r="G3195" i="1" s="1"/>
  <c r="G3196" i="1" s="1"/>
  <c r="G3197" i="1" s="1"/>
  <c r="G3198" i="1" s="1"/>
  <c r="G3199" i="1" s="1"/>
  <c r="G3200" i="1" s="1"/>
  <c r="G3201" i="1" s="1"/>
  <c r="G3202" i="1" s="1"/>
  <c r="G3203" i="1" s="1"/>
  <c r="G3204" i="1" s="1"/>
  <c r="G3205" i="1" s="1"/>
  <c r="G3206" i="1" s="1"/>
  <c r="G3207" i="1" s="1"/>
  <c r="G3208" i="1" s="1"/>
  <c r="G3209" i="1" s="1"/>
  <c r="G3210" i="1" s="1"/>
  <c r="G3211" i="1" s="1"/>
  <c r="G3212" i="1" s="1"/>
  <c r="G3213" i="1" s="1"/>
  <c r="G3214" i="1" s="1"/>
  <c r="G3215" i="1" s="1"/>
  <c r="G3216" i="1" s="1"/>
  <c r="G3217" i="1" s="1"/>
  <c r="G3218" i="1" s="1"/>
  <c r="G3219" i="1" s="1"/>
  <c r="G3220" i="1" s="1"/>
  <c r="G3221" i="1" s="1"/>
  <c r="G3222" i="1" s="1"/>
  <c r="G3223" i="1" s="1"/>
  <c r="G3224" i="1" s="1"/>
  <c r="G3225" i="1" s="1"/>
  <c r="G3226" i="1" s="1"/>
  <c r="G3227" i="1" s="1"/>
  <c r="G3228" i="1" s="1"/>
  <c r="G3229" i="1" s="1"/>
  <c r="G3230" i="1" s="1"/>
  <c r="G3231" i="1" s="1"/>
  <c r="G3232" i="1" s="1"/>
  <c r="G3233" i="1" s="1"/>
  <c r="G3234" i="1" s="1"/>
  <c r="G3235" i="1" s="1"/>
  <c r="G3236" i="1" s="1"/>
  <c r="G3237" i="1" s="1"/>
  <c r="G3238" i="1" s="1"/>
  <c r="G3239" i="1" s="1"/>
  <c r="G3240" i="1" s="1"/>
  <c r="G3241" i="1" s="1"/>
  <c r="G3242" i="1" s="1"/>
  <c r="G3243" i="1" s="1"/>
  <c r="G3244" i="1" s="1"/>
  <c r="G3245" i="1" s="1"/>
  <c r="G3246" i="1" s="1"/>
  <c r="G3247" i="1" s="1"/>
  <c r="G3248" i="1" s="1"/>
  <c r="G3249" i="1" s="1"/>
  <c r="G3250" i="1" s="1"/>
  <c r="G3251" i="1" s="1"/>
  <c r="G3252" i="1" s="1"/>
  <c r="G3253" i="1" s="1"/>
  <c r="G3254" i="1" s="1"/>
  <c r="G3255" i="1" s="1"/>
  <c r="G3256" i="1" s="1"/>
  <c r="G3257" i="1" s="1"/>
  <c r="G3258" i="1" s="1"/>
  <c r="G3259" i="1" s="1"/>
  <c r="G3260" i="1" s="1"/>
  <c r="G3261" i="1" s="1"/>
  <c r="G3262" i="1" s="1"/>
  <c r="G3263" i="1" s="1"/>
  <c r="G3264" i="1" s="1"/>
  <c r="G3265" i="1" s="1"/>
  <c r="G3266" i="1" s="1"/>
  <c r="G3267" i="1" s="1"/>
  <c r="G3268" i="1" s="1"/>
  <c r="G3269" i="1" s="1"/>
  <c r="G3270" i="1" s="1"/>
  <c r="G3271" i="1" s="1"/>
  <c r="G3272" i="1" s="1"/>
  <c r="G3273" i="1" s="1"/>
  <c r="G3274" i="1" s="1"/>
  <c r="G3275" i="1" s="1"/>
  <c r="G3276" i="1" s="1"/>
  <c r="G3277" i="1" s="1"/>
  <c r="G3278" i="1" s="1"/>
  <c r="G3279" i="1" s="1"/>
  <c r="G3280" i="1" s="1"/>
  <c r="G3281" i="1" s="1"/>
  <c r="G3282" i="1" s="1"/>
  <c r="G3283" i="1" s="1"/>
  <c r="G3284" i="1" s="1"/>
  <c r="G3285" i="1" s="1"/>
  <c r="G3286" i="1" s="1"/>
  <c r="G3287" i="1" s="1"/>
  <c r="G3288" i="1" s="1"/>
  <c r="G3289" i="1" s="1"/>
  <c r="G3290" i="1" s="1"/>
  <c r="G3291" i="1" s="1"/>
  <c r="G3292" i="1" s="1"/>
  <c r="G3293" i="1" s="1"/>
  <c r="G3294" i="1" s="1"/>
  <c r="G3295" i="1" s="1"/>
  <c r="G3296" i="1" s="1"/>
  <c r="G3297" i="1" s="1"/>
  <c r="G3298" i="1" s="1"/>
  <c r="G3299" i="1" s="1"/>
  <c r="G3300" i="1" s="1"/>
  <c r="G3301" i="1" s="1"/>
  <c r="G3302" i="1" s="1"/>
  <c r="G3303" i="1" s="1"/>
  <c r="G3304" i="1" s="1"/>
  <c r="G3305" i="1" s="1"/>
  <c r="G3306" i="1" s="1"/>
  <c r="G3307" i="1" s="1"/>
  <c r="G3308" i="1" s="1"/>
  <c r="G3309" i="1" s="1"/>
  <c r="G3310" i="1" s="1"/>
  <c r="G3311" i="1" s="1"/>
  <c r="G3312" i="1" s="1"/>
  <c r="G3313" i="1" s="1"/>
  <c r="G3314" i="1" s="1"/>
  <c r="G3315" i="1" s="1"/>
  <c r="G3316" i="1" s="1"/>
  <c r="G3317" i="1" s="1"/>
  <c r="G3318" i="1" s="1"/>
  <c r="G3319" i="1" s="1"/>
  <c r="G3320" i="1" s="1"/>
  <c r="G3321" i="1" s="1"/>
  <c r="G3322" i="1" s="1"/>
  <c r="G3323" i="1" s="1"/>
  <c r="G3324" i="1" s="1"/>
  <c r="G3325" i="1" s="1"/>
  <c r="G3326" i="1" s="1"/>
  <c r="G3327" i="1" s="1"/>
  <c r="G3328" i="1" s="1"/>
  <c r="G3329" i="1" s="1"/>
  <c r="G3330" i="1" s="1"/>
  <c r="G3331" i="1" s="1"/>
  <c r="G3332" i="1" s="1"/>
  <c r="G3333" i="1" s="1"/>
  <c r="G3334" i="1" s="1"/>
  <c r="G3335" i="1" s="1"/>
  <c r="G3336" i="1" s="1"/>
  <c r="G3337" i="1" s="1"/>
  <c r="G3338" i="1" s="1"/>
  <c r="G3339" i="1" s="1"/>
  <c r="G3340" i="1" s="1"/>
  <c r="G3341" i="1" s="1"/>
  <c r="G3342" i="1" s="1"/>
  <c r="G3343" i="1" s="1"/>
  <c r="G3344" i="1" s="1"/>
  <c r="G3345" i="1" s="1"/>
  <c r="G3346" i="1" s="1"/>
  <c r="G3347" i="1" s="1"/>
  <c r="G3348" i="1" s="1"/>
  <c r="G3349" i="1" s="1"/>
  <c r="G3350" i="1" s="1"/>
  <c r="G3351" i="1" s="1"/>
  <c r="G3352" i="1" s="1"/>
  <c r="G3353" i="1" s="1"/>
  <c r="G3354" i="1" s="1"/>
  <c r="G3355" i="1" s="1"/>
  <c r="G3356" i="1" s="1"/>
  <c r="G3357" i="1" s="1"/>
  <c r="G3358" i="1" s="1"/>
  <c r="G3359" i="1" s="1"/>
  <c r="G3360" i="1" s="1"/>
  <c r="G3361" i="1" s="1"/>
  <c r="G3362" i="1" s="1"/>
  <c r="G3363" i="1" s="1"/>
  <c r="G3364" i="1" s="1"/>
  <c r="G3365" i="1" s="1"/>
  <c r="G3366" i="1" s="1"/>
  <c r="G3367" i="1" s="1"/>
  <c r="G3368" i="1" s="1"/>
  <c r="G3369" i="1" s="1"/>
  <c r="G3370" i="1" s="1"/>
  <c r="G3371" i="1" s="1"/>
  <c r="G3372" i="1" s="1"/>
  <c r="G3373" i="1" s="1"/>
  <c r="G3374" i="1" s="1"/>
  <c r="G3375" i="1" s="1"/>
  <c r="G3376" i="1" s="1"/>
  <c r="G3377" i="1" s="1"/>
  <c r="G3378" i="1" s="1"/>
  <c r="G3379" i="1" s="1"/>
  <c r="G3380" i="1" s="1"/>
  <c r="G3381" i="1" s="1"/>
  <c r="G3382" i="1" s="1"/>
  <c r="G3383" i="1" s="1"/>
  <c r="G3384" i="1" s="1"/>
  <c r="G3385" i="1" s="1"/>
  <c r="G3386" i="1" s="1"/>
  <c r="G3387" i="1" s="1"/>
  <c r="G3388" i="1" s="1"/>
  <c r="G3389" i="1" s="1"/>
  <c r="G3390" i="1" s="1"/>
  <c r="G3391" i="1" s="1"/>
  <c r="G3392" i="1" s="1"/>
  <c r="G3393" i="1" s="1"/>
  <c r="G3394" i="1" s="1"/>
  <c r="G3395" i="1" s="1"/>
  <c r="G3396" i="1" s="1"/>
  <c r="G3397" i="1" s="1"/>
  <c r="G3398" i="1" s="1"/>
  <c r="G3399" i="1" s="1"/>
  <c r="G3400" i="1" s="1"/>
  <c r="G3401" i="1" s="1"/>
  <c r="G3402" i="1" s="1"/>
  <c r="G3403" i="1" s="1"/>
  <c r="G3404" i="1" s="1"/>
  <c r="G3405" i="1" s="1"/>
  <c r="G3406" i="1" s="1"/>
  <c r="G3407" i="1" s="1"/>
  <c r="G3408" i="1" s="1"/>
  <c r="G3409" i="1" s="1"/>
  <c r="G3410" i="1" s="1"/>
  <c r="G3411" i="1" s="1"/>
  <c r="G3412" i="1" s="1"/>
  <c r="G3413" i="1" s="1"/>
  <c r="G3414" i="1" s="1"/>
  <c r="G3415" i="1" s="1"/>
  <c r="G3416" i="1" s="1"/>
  <c r="G3417" i="1" s="1"/>
  <c r="G3418" i="1" s="1"/>
  <c r="G3419" i="1" s="1"/>
  <c r="G3420" i="1" s="1"/>
  <c r="G3421" i="1" s="1"/>
  <c r="I2511" i="1"/>
  <c r="G3422" i="1" l="1"/>
  <c r="G3423" i="1" s="1"/>
</calcChain>
</file>

<file path=xl/sharedStrings.xml><?xml version="1.0" encoding="utf-8"?>
<sst xmlns="http://schemas.openxmlformats.org/spreadsheetml/2006/main" count="5460" uniqueCount="1686">
  <si>
    <t>Report</t>
  </si>
  <si>
    <t>° Pièce</t>
  </si>
  <si>
    <t>Date</t>
  </si>
  <si>
    <t>Libellé</t>
  </si>
  <si>
    <t>Recettes</t>
  </si>
  <si>
    <t>Solde</t>
  </si>
  <si>
    <t>Dépenses</t>
  </si>
  <si>
    <t>Frais</t>
  </si>
  <si>
    <t>Appro Caisse</t>
  </si>
  <si>
    <t>V</t>
  </si>
  <si>
    <t>Rem Chq xxx</t>
  </si>
  <si>
    <t>SOS Abidjan JANVIER 2021</t>
  </si>
  <si>
    <t>4034289</t>
  </si>
  <si>
    <t>Vir CHAVES BAO Jan 2021</t>
  </si>
  <si>
    <t>4034291</t>
  </si>
  <si>
    <t>Vir VEOLIA</t>
  </si>
  <si>
    <t>Rem Chq CEMOI Cote</t>
  </si>
  <si>
    <t>4034292</t>
  </si>
  <si>
    <t>Vir EIFFAGE</t>
  </si>
  <si>
    <t>Vir XXX</t>
  </si>
  <si>
    <t>Frais Virement DGI</t>
  </si>
  <si>
    <t>Vir SOCIETE AFRICAINE de CACAO</t>
  </si>
  <si>
    <t>Chq xxx</t>
  </si>
  <si>
    <t>4034293</t>
  </si>
  <si>
    <t>4034290</t>
  </si>
  <si>
    <t>Chq xxx Loyer</t>
  </si>
  <si>
    <t>Frais Digipass</t>
  </si>
  <si>
    <t>Cotisation Compte SOS</t>
  </si>
  <si>
    <t>4034266</t>
  </si>
  <si>
    <t>Agios du 31/12/20 au 31/01/21</t>
  </si>
  <si>
    <t>SOS Abidjan FEVRIER 2021</t>
  </si>
  <si>
    <t>4034267</t>
  </si>
  <si>
    <t>Chq HOTEL La Terrasse</t>
  </si>
  <si>
    <t>Salaires Janvier 2021</t>
  </si>
  <si>
    <t>Frais Virement Salaires</t>
  </si>
  <si>
    <t>DI</t>
  </si>
  <si>
    <t>403468</t>
  </si>
  <si>
    <t>Vir TENTE Fev 2021 3288,06€</t>
  </si>
  <si>
    <t>Frais Encaissement???</t>
  </si>
  <si>
    <t>Rem Chq SOFID-SEM-AIC</t>
  </si>
  <si>
    <t>Vir NERE Loyer Janvier 21 + 1/2 Juillet 20</t>
  </si>
  <si>
    <t>Vir CMID 870-075-095-871-806-874-103-817</t>
  </si>
  <si>
    <t>Vir SIDECI 1079-1262-1316-1396-1428-1430</t>
  </si>
  <si>
    <t>Rem Chq CEMOI CI</t>
  </si>
  <si>
    <t>Rem Chq TIAMA-CARGILL-PROTECT-SOGENA-SOTICI-SNEC-ACIERIES</t>
  </si>
  <si>
    <t>Vir FRIESLANDCAMPINA</t>
  </si>
  <si>
    <t>Rem Chq IVMCI-SOLIBRA-SIF PLAST-EUROLAIT-ENGIE-DREAM COSMETICS</t>
  </si>
  <si>
    <t>4034269</t>
  </si>
  <si>
    <t>Agios du 31/01 au 28/02/21</t>
  </si>
  <si>
    <t>Vir SIDAM SA Fact xxx</t>
  </si>
  <si>
    <t>SOS Abidjan MARS 2021</t>
  </si>
  <si>
    <t>Salaires Fevrier 2021</t>
  </si>
  <si>
    <t>Versement Especes</t>
  </si>
  <si>
    <t>Timbre</t>
  </si>
  <si>
    <t>Versement Especes Appro Cogerants</t>
  </si>
  <si>
    <t>Rem Chq INPROBOIS</t>
  </si>
  <si>
    <t>Rem Chq SDGISN</t>
  </si>
  <si>
    <t>Rem Chq PFO AFRICA</t>
  </si>
  <si>
    <t>Rem Chq ACIERIES</t>
  </si>
  <si>
    <t>Rem Chq FLEPACI</t>
  </si>
  <si>
    <t>Rem Chq SDGISN-SISAG-AMDS-PALMAFRIQUE</t>
  </si>
  <si>
    <t>Vir CARGILL COCOA</t>
  </si>
  <si>
    <t>Rem Chq SOUDOTEC-ECO EBURNIE-MEDLOG-SN INDIGO-COCITAM-FRIEDLANDER-FRIEDLANDER</t>
  </si>
  <si>
    <t>Vir Impots Fevrier 2021</t>
  </si>
  <si>
    <t>Vir Impots Janvier 2021</t>
  </si>
  <si>
    <t>Vir EBUTRANS Douanes dossier 21/0155</t>
  </si>
  <si>
    <t>Vir SIDECI 1429-1454-1479-1480-1490-1540</t>
  </si>
  <si>
    <t>Vir CMID 818-823</t>
  </si>
  <si>
    <t>Vir EBUTRANS 1757-1756-1760-1761</t>
  </si>
  <si>
    <t>Vir NERE Loyer Fevrier 21 + 1/2 Juillet 20 + Aout 20</t>
  </si>
  <si>
    <t>Encaissement Effet SOTACI</t>
  </si>
  <si>
    <t>Encaissement Effet CEMOI</t>
  </si>
  <si>
    <t>Rem Chq LASSIRE DECHETS-AIC-AIRONE</t>
  </si>
  <si>
    <t>Rem Chq GIB SARL</t>
  </si>
  <si>
    <t>Rem Chq ARIBAT</t>
  </si>
  <si>
    <t>Rem Chq LASSIRE INDUSTRIE-UNIWAX-NUTRI FOOD-PROLOGISTICS</t>
  </si>
  <si>
    <t>Vir CROWN SIEM</t>
  </si>
  <si>
    <t>Vir EBUTRANS Douanes dossier 21/0173</t>
  </si>
  <si>
    <t>Rem Chq SOFID-SOETIC</t>
  </si>
  <si>
    <t>Rem Chq SICODIS-SOLIBRA-CMR GRANIT</t>
  </si>
  <si>
    <t>Rem Chq RMI-ADEMAT-IVOSEP-SIPROCHIM</t>
  </si>
  <si>
    <t>Chq SIDAM</t>
  </si>
  <si>
    <t>4034270</t>
  </si>
  <si>
    <t>Chq ???</t>
  </si>
  <si>
    <t>Prelevement Compte Compensation</t>
  </si>
  <si>
    <t>4034271</t>
  </si>
  <si>
    <t>agios du 28/02 au 31/03/21</t>
  </si>
  <si>
    <t>Vir FDFP</t>
  </si>
  <si>
    <t>Chq CNPS 2020</t>
  </si>
  <si>
    <t>Salaires Mars 2021</t>
  </si>
  <si>
    <t>Vir EBUTRANS Douanes dossier 21/0180</t>
  </si>
  <si>
    <t>Rem chq NORCOCI LOYER SS LOC 01/02/03</t>
  </si>
  <si>
    <t>Rem Chq HYDROPLAST</t>
  </si>
  <si>
    <t>Rem Chq PESCHAUD-ACIS-USICHROM</t>
  </si>
  <si>
    <t>4034295</t>
  </si>
  <si>
    <t>Chq CNPS Jan Fev Mars 2021</t>
  </si>
  <si>
    <t>Chq Solde Compte ASSOUA Marthe</t>
  </si>
  <si>
    <t>Vir TSE</t>
  </si>
  <si>
    <t xml:space="preserve">Vir IMF/FDFP/TVA </t>
  </si>
  <si>
    <t>Chq ITS</t>
  </si>
  <si>
    <t>Vir NERE Loyer Mars 21 + Aout 20</t>
  </si>
  <si>
    <t>Vir Me ROUX Cession de part &amp; Statuts</t>
  </si>
  <si>
    <t>Vir SIDECI FT137200/1614-137230/1644-137247/1661-137289/1703-137286/1700-137337/1737</t>
  </si>
  <si>
    <t>Vir CMID 20316S023/0130</t>
  </si>
  <si>
    <t>Vir BERNABE Fact xxx</t>
  </si>
  <si>
    <t>Rem Chq EMI</t>
  </si>
  <si>
    <t>Rem Chq MEDLOG-SOTICI</t>
  </si>
  <si>
    <t>Rem Chq ATOU SA-SOTICI-SOUDOTEC</t>
  </si>
  <si>
    <t>Vir EBUTRANS Douanes dossier 21/0222</t>
  </si>
  <si>
    <t>Vir EBUTRANS Douanes dossier 21/0220</t>
  </si>
  <si>
    <t>Rem Chq IRES-SDCI</t>
  </si>
  <si>
    <t>Rem Chq LUBITECH-ACIERS INDUSTRIES SERVICES-LASSIRE DECHETS</t>
  </si>
  <si>
    <t>Rem Chq CAP LOGISTICS-SOETIC INDUSTRIE-SEM ENTREPRISES</t>
  </si>
  <si>
    <t>4034274</t>
  </si>
  <si>
    <t>Chq impaye EMI</t>
  </si>
  <si>
    <t>Rem Chq UNIWAX</t>
  </si>
  <si>
    <t>Vir SOGB</t>
  </si>
  <si>
    <t>SOS Abidjan AVRIL 2021</t>
  </si>
  <si>
    <t>Salaires Avril 2021</t>
  </si>
  <si>
    <t>Agios du 31/03 au 30/04/21</t>
  </si>
  <si>
    <t>SOS Abidjan MAI 2021</t>
  </si>
  <si>
    <t>Rem Chq LASSIRE DECHETS</t>
  </si>
  <si>
    <t>Rem Chq CMD</t>
  </si>
  <si>
    <t>Rem Chq IVMCI</t>
  </si>
  <si>
    <t>Rem Chq CMR GRANIT</t>
  </si>
  <si>
    <t>Rem Chq SIF PLAST-SIF PLAST-SCCI</t>
  </si>
  <si>
    <t>Rem Chq SDIPM-SDGISN</t>
  </si>
  <si>
    <t>Rem Chq SCTII-?????-TECHNIQUE INDUSTRIE</t>
  </si>
  <si>
    <t>Vir EBUTRANS 21/073-21/0155</t>
  </si>
  <si>
    <t>Vir NERE Loyer Avril 2021 + Sept 2020</t>
  </si>
  <si>
    <t>Vir CMID 20316S023/0137</t>
  </si>
  <si>
    <t xml:space="preserve">Vir SIDECI FT137474/1891-137480/1897-137516/1933-137529/1946-137532/1949-137601/2019 </t>
  </si>
  <si>
    <t>Vir HESNAULT 22102727</t>
  </si>
  <si>
    <t>Rem Chq SOFIM-SIDECI-SOLIBRA</t>
  </si>
  <si>
    <t>Rem Chq FRANZETTI-EXAT-DPT</t>
  </si>
  <si>
    <t>Rem Chq MICI EMBACI-NP GANDOUR-NP GANDOUR-SIDECI</t>
  </si>
  <si>
    <t>Rem Chq USICHROM-SOTICI-CIMELEC IVOIRE</t>
  </si>
  <si>
    <t>Vir NESTLE</t>
  </si>
  <si>
    <t>4034297</t>
  </si>
  <si>
    <t>DIGIPASS</t>
  </si>
  <si>
    <t>Vir EBUTRANS 21/0259-21/0261</t>
  </si>
  <si>
    <t>4034296</t>
  </si>
  <si>
    <t>Versement Espece Caisse</t>
  </si>
  <si>
    <t>4034298</t>
  </si>
  <si>
    <t>Vir STA SIB</t>
  </si>
  <si>
    <t>Rem Chq IRES-RMI-EXP AND MINING SUPPLIERS-SDGISN</t>
  </si>
  <si>
    <t>Rem Chq GIE CEMACI</t>
  </si>
  <si>
    <t>Rem Chq UNIWAX-AMDS</t>
  </si>
  <si>
    <t>Rem Chq AIC</t>
  </si>
  <si>
    <t>Chq BERNABE</t>
  </si>
  <si>
    <t>Chq LA TERRASSE</t>
  </si>
  <si>
    <t>4034299</t>
  </si>
  <si>
    <t>Rem Chq IVOIRE EQUIPEMENTS</t>
  </si>
  <si>
    <t>Rem Chq GIB SARL-INPROBOIS-SDGISN</t>
  </si>
  <si>
    <t>Chq CIE</t>
  </si>
  <si>
    <t>Rem Chq PROLINE LOGISTICS-ATR</t>
  </si>
  <si>
    <t>Salaires Mai 2021</t>
  </si>
  <si>
    <t>Vir RDT 7650550</t>
  </si>
  <si>
    <t>Vir HESNAULT 22103558</t>
  </si>
  <si>
    <t>Vir SIDAM SA 205-20</t>
  </si>
  <si>
    <t>Vir CMID 202-905-906</t>
  </si>
  <si>
    <t>Vir SIDECI 2204/FT137784-2257/FT137838</t>
  </si>
  <si>
    <t>Vir EBUTRANS 21/0180-21/0222</t>
  </si>
  <si>
    <t>Vir NERE Loyer Mai 2021 + Sept 2020</t>
  </si>
  <si>
    <t>Agios du 30/04 au 31/05/21</t>
  </si>
  <si>
    <t>Vir Nationale D'Operation Petrole</t>
  </si>
  <si>
    <t>Rem Chq CIE CACAOYERE-SUCAF</t>
  </si>
  <si>
    <t>Rem Chq ECM CI</t>
  </si>
  <si>
    <t>Vir ABEILLECARRIERE</t>
  </si>
  <si>
    <t>SOS Abidjan JUIN 2021</t>
  </si>
  <si>
    <t>Vir EBUTRANS Douane dossier 21/0306</t>
  </si>
  <si>
    <t>4034300</t>
  </si>
  <si>
    <t>Chq EIEE ENTREPRISE (ANTIVIRUS)</t>
  </si>
  <si>
    <t>Rem Chq HOTEL TIAMA-COCITAM-SOGB-SOLIBRA</t>
  </si>
  <si>
    <t>Rem Chq SOFID-SCTII-CROWN SIEM</t>
  </si>
  <si>
    <t>Rem Chq SNAMDE-USICHROM</t>
  </si>
  <si>
    <t>Rem Chq SCB-ADEMAT-SIF PLAST</t>
  </si>
  <si>
    <t>Rem Chq LA FERME DE BEOUMI-SIDECI</t>
  </si>
  <si>
    <t>Frais Vir DGI</t>
  </si>
  <si>
    <t>Vir DGI 2ième tranche impôt</t>
  </si>
  <si>
    <t>Rem Chq LASSIRE-AMDS-NUTRI FOOD-MONDI-SUCRIVOIRE</t>
  </si>
  <si>
    <t>Rem Chq MEDLOG-SDGISN-LUBITECH</t>
  </si>
  <si>
    <t>Rem Chq IVOIRE COTON-SOTICI-SOFID</t>
  </si>
  <si>
    <t>Versement Especes appro cogérants</t>
  </si>
  <si>
    <t>Rem Chq SIC5E</t>
  </si>
  <si>
    <t>Rem Chq SETEL CI</t>
  </si>
  <si>
    <t>Vir EBUTRANS dossier 21/0350</t>
  </si>
  <si>
    <t>Rem Chq SCB-CBC</t>
  </si>
  <si>
    <t>Rem Chq DD-ITM</t>
  </si>
  <si>
    <t>Vir YARA</t>
  </si>
  <si>
    <t>Salaires Juin 2021</t>
  </si>
  <si>
    <t>Rem Chq CAS EQUIPEMENT</t>
  </si>
  <si>
    <t>Rem Chq SN INDIGO-IRES</t>
  </si>
  <si>
    <t>Rem Chq NUTRI FOOD-USICHROM</t>
  </si>
  <si>
    <t>Agios du 31/05 au 31/06/21</t>
  </si>
  <si>
    <t>4034303</t>
  </si>
  <si>
    <t>4034304</t>
  </si>
  <si>
    <t>SOS Abidjan JUILLET 2021</t>
  </si>
  <si>
    <t>4034301</t>
  </si>
  <si>
    <t>Versement especes</t>
  </si>
  <si>
    <t>4034305</t>
  </si>
  <si>
    <t xml:space="preserve">Vir SPINTOSCI </t>
  </si>
  <si>
    <t>Vir NERE Loyer Juin 2021 + Oct 2020</t>
  </si>
  <si>
    <t>Vir BERNABE 115298/FVE036065</t>
  </si>
  <si>
    <t>Vir SIDAM 205-20</t>
  </si>
  <si>
    <t>Vir SIDECI 2344/FT137922-2343/FT137921-2355/FT137934-2367/FT137954</t>
  </si>
  <si>
    <t>Vir RDT 7650550-7651888</t>
  </si>
  <si>
    <t>Vir EBUTRANS 21/0220-21/0259-21/0261</t>
  </si>
  <si>
    <t>Vir NORD SUD 47500/108526</t>
  </si>
  <si>
    <t>4034302</t>
  </si>
  <si>
    <t>Vir ME COTE IVOIRE</t>
  </si>
  <si>
    <t>Chq enregistrement loyer</t>
  </si>
  <si>
    <t>Chq hotel LA TERRASSE</t>
  </si>
  <si>
    <t>Rem chq SDGISN-CADERAC</t>
  </si>
  <si>
    <t>EFFETS CEMOI</t>
  </si>
  <si>
    <t>Rem chq SIDECI-RMI-SCTII</t>
  </si>
  <si>
    <t>Rem chq SAMELA-SIF PLAST-SDGISN-NOUVELLE MICI EMBACI</t>
  </si>
  <si>
    <t>Vir GCCI</t>
  </si>
  <si>
    <t>Chq renouvellement bail bureau</t>
  </si>
  <si>
    <t>Chq FILAC tenues magasiniers</t>
  </si>
  <si>
    <t>Frais Procuration</t>
  </si>
  <si>
    <t>Rem chq SDGISN</t>
  </si>
  <si>
    <t>4034309</t>
  </si>
  <si>
    <t>Vir EBUTRANS Douane dossier 21/0397</t>
  </si>
  <si>
    <t>Rem chq CAMAA</t>
  </si>
  <si>
    <t>Rem chq IVMCI</t>
  </si>
  <si>
    <t>Rem chq UNIWAX-LASSIRE-NEXANS-SARCI-SEA INVEST-UNIWAX</t>
  </si>
  <si>
    <t>Frais Virement</t>
  </si>
  <si>
    <t>Vir PATENTE 2ième TRANCHE</t>
  </si>
  <si>
    <t>Vir impôts TSE 2ième trimestre</t>
  </si>
  <si>
    <t>Vir impôts FDFP 2ième trimestre</t>
  </si>
  <si>
    <t>Chq ordinateur</t>
  </si>
  <si>
    <t>Virement TENTE</t>
  </si>
  <si>
    <t>4034307</t>
  </si>
  <si>
    <t>Chq Retenue sur loyer</t>
  </si>
  <si>
    <t>4034311</t>
  </si>
  <si>
    <t>4034310</t>
  </si>
  <si>
    <t>Chq CNPS</t>
  </si>
  <si>
    <t>4034308</t>
  </si>
  <si>
    <t>Frais Domiciliation</t>
  </si>
  <si>
    <t>Vir NERE Loyer Juillet 2021 + Nov 2020</t>
  </si>
  <si>
    <t>Vir NORD SUD 47500/110602</t>
  </si>
  <si>
    <t>Vir CMID 934</t>
  </si>
  <si>
    <t>Vir EBUTRANS 21/0306-21/0350</t>
  </si>
  <si>
    <t>Vir SIDECI 2313/FT138186-2939/FT138504-3005/FT138569</t>
  </si>
  <si>
    <t>Vir CAREC 362</t>
  </si>
  <si>
    <t>Vir UNIVERSAL LOG ULW-IM-008553</t>
  </si>
  <si>
    <t>Vir CENTRIMEX VME21070184</t>
  </si>
  <si>
    <t>Rem Chq COLAS AFRIQUE-NUTRI FOOD-DPT</t>
  </si>
  <si>
    <t>Rem Chq IVOSEP-SIDECI-SIDECI</t>
  </si>
  <si>
    <t>Rem Chq NOUVELLE MICI EMBACI</t>
  </si>
  <si>
    <t>Rem Chq IRES</t>
  </si>
  <si>
    <t>Vir EBUTRANS Debours Douane 21/0385</t>
  </si>
  <si>
    <t>timbre</t>
  </si>
  <si>
    <t>agios du 30/06/ au 31/07/21</t>
  </si>
  <si>
    <t>Rem Chq UNIWAX-NP GANDOUR-ADEMAT-USICHROM</t>
  </si>
  <si>
    <t>Vir EBUTRANS Debours Douane 21/0424</t>
  </si>
  <si>
    <t>Vir EBUTRANS Debours Douane 21/0440</t>
  </si>
  <si>
    <t>Vir SOCIETE DES MINES</t>
  </si>
  <si>
    <t>Vir SOCIETE IVOIRIENNE</t>
  </si>
  <si>
    <t>Vir AGBAOU GOLD Op</t>
  </si>
  <si>
    <t>Annule</t>
  </si>
  <si>
    <t>Vir TVA</t>
  </si>
  <si>
    <t>4034312</t>
  </si>
  <si>
    <t>Salaires Aout 2021</t>
  </si>
  <si>
    <t>Vir EBUTRANS 21/0498</t>
  </si>
  <si>
    <t>Vir EBUTRANS 21/0499</t>
  </si>
  <si>
    <t>agios du 31/07 au 31/08/21</t>
  </si>
  <si>
    <t>Vir M E COTE IVOIRE</t>
  </si>
  <si>
    <t>SOS Abidjan AOUT 2021</t>
  </si>
  <si>
    <t>SOS Abidjan SEPTEMBRE 2021</t>
  </si>
  <si>
    <t>Rem Chq SCB-AIRONE-UNIWAX-SIF PLAST-UNIWAX-NUTRI FOOD-SDGISN</t>
  </si>
  <si>
    <t>Rem Chq ADEMAT-IRES-LASSIRE-SUCAF</t>
  </si>
  <si>
    <t>Rem Chq ACIERIES-SDGISN-SOGENA-SOTICI</t>
  </si>
  <si>
    <t>Rem Chq SARCI-SOFID</t>
  </si>
  <si>
    <t>Rem Chq INTRATEC 2X-COCITAM-DREAM COSMETICS</t>
  </si>
  <si>
    <t>Rem Chq CADERAC</t>
  </si>
  <si>
    <t>Rem Chq NOUVELLE IFMI</t>
  </si>
  <si>
    <t>Rem Chq ATR</t>
  </si>
  <si>
    <t>Rem Chq CONTINENTAL SHIPPING</t>
  </si>
  <si>
    <t>Rem Chq SN INDIGO-AIC</t>
  </si>
  <si>
    <t>Rem Chq IVENTRAD</t>
  </si>
  <si>
    <t>Rem Chq SOFIM</t>
  </si>
  <si>
    <t>Rem Chq SCCI-METALUX-SOTICI-RMI-MEDLOG</t>
  </si>
  <si>
    <t>Rem Chq IMS</t>
  </si>
  <si>
    <t>Rem Chq EXAT 2X-USICHROM</t>
  </si>
  <si>
    <t>Vir EBUTRANS 21/0522</t>
  </si>
  <si>
    <t>Vir TROPICAL TRANSIT INT 437-438</t>
  </si>
  <si>
    <t>4034313</t>
  </si>
  <si>
    <t>Vir NERE Loyer Aout 2021 + Nov 2020</t>
  </si>
  <si>
    <t>Rem Chq INTELEC PROTECTION 2X</t>
  </si>
  <si>
    <t>TRAITE SOTACI</t>
  </si>
  <si>
    <t>Vir COBRA CI</t>
  </si>
  <si>
    <t>Rem Chq ABIBAT-LASSIRE-SIDECI-SIF PLAST-SIDECI-ABIBAT-USICHROM</t>
  </si>
  <si>
    <t>Rem Chq THELEN-SOETIC</t>
  </si>
  <si>
    <t>Rem Chq MIPA-DREAM COSMETICS-IRES-UNIWAX-USICHROM</t>
  </si>
  <si>
    <t>versement espèces</t>
  </si>
  <si>
    <t>4034314</t>
  </si>
  <si>
    <t>4034315</t>
  </si>
  <si>
    <t>Remb Dossier 00007841</t>
  </si>
  <si>
    <t>Remb SG Decouvert</t>
  </si>
  <si>
    <t xml:space="preserve">Vir INOXMARE Sept 2021 </t>
  </si>
  <si>
    <t xml:space="preserve">Vir MAURIN Sept 2021 </t>
  </si>
  <si>
    <t xml:space="preserve">Vir TENTE Sept 2021 </t>
  </si>
  <si>
    <t>Vir Impots ???</t>
  </si>
  <si>
    <t>Rem Chq PROLOGISTICS-PROLINE-CARENA-SIBM</t>
  </si>
  <si>
    <t>Rem Chq LASSIRE-UNIWAX-NUTRI FOOD INDUSTRY</t>
  </si>
  <si>
    <t>Rem Chq IDS</t>
  </si>
  <si>
    <t>Rem Chq SOMEG</t>
  </si>
  <si>
    <t>Retenue Garantie Decouvert</t>
  </si>
  <si>
    <t>Agios du 31/08 au 30/09/21</t>
  </si>
  <si>
    <t>VIREMENT TENTE</t>
  </si>
  <si>
    <t>VIREMENT MAURIN</t>
  </si>
  <si>
    <t>Chq CFAO MOTO</t>
  </si>
  <si>
    <t>Rem Chq MONDI-EXPLORATION AND MINING</t>
  </si>
  <si>
    <t>Rem Chq SEL ROYAL AFRIQUE</t>
  </si>
  <si>
    <t>VIREMENT SPINTOS</t>
  </si>
  <si>
    <t>4034316</t>
  </si>
  <si>
    <t>Chq Impaye IDS</t>
  </si>
  <si>
    <t>Versement Associes</t>
  </si>
  <si>
    <t>Vir EBUTRANS 21/0595</t>
  </si>
  <si>
    <t>SOS Abidjan OCTOBRE 2021</t>
  </si>
  <si>
    <t>Rem Chq IVOIRE INGENIERIE-LASSIRE-NUTRI FOOD-SOTICI-SN  AMDE</t>
  </si>
  <si>
    <t>Rem Chq SDIPM</t>
  </si>
  <si>
    <t>Rem Chq ECMTD</t>
  </si>
  <si>
    <t>Vir RDT 7655989-7655986</t>
  </si>
  <si>
    <t>Vir HESNAULT 22106718</t>
  </si>
  <si>
    <t>Vir MEDIAROCH 17316/046/0204</t>
  </si>
  <si>
    <t>Vir NORD SUD CTI 47500/113510</t>
  </si>
  <si>
    <t>Vir SIDECI 0270/FT139067-0755/FT139545</t>
  </si>
  <si>
    <t>Vir CENTRIMEX VITF103803</t>
  </si>
  <si>
    <t>Vir CMID 000947-000316</t>
  </si>
  <si>
    <t>Vir EBUTRANS 21/0397-21/0385-21/0424</t>
  </si>
  <si>
    <t>Vir NERE Loyer Aout 2021 + Nov 2020 + Dec 2020</t>
  </si>
  <si>
    <t>Vir SERENITY Assurance 2021-2022</t>
  </si>
  <si>
    <t>Rem Chq ADEMAT-SOTACI-SACRI-SN INDIGO-IVMCI-USICHROM</t>
  </si>
  <si>
    <t>Rem Chq AIC-SAMELA-CADERAC</t>
  </si>
  <si>
    <t>Vir CAREC Solde fact 362</t>
  </si>
  <si>
    <t>Rem Chq AMDS-SPAC-SIDECI-AMS</t>
  </si>
  <si>
    <t>Virement impôts</t>
  </si>
  <si>
    <t>Vir EBUTRANS 21/0633</t>
  </si>
  <si>
    <t>Rem Chq PALMAFRIQUE</t>
  </si>
  <si>
    <t>Rem Chq COCITAM-UNIWAX-2TM</t>
  </si>
  <si>
    <t>Chq Impaye 3153335</t>
  </si>
  <si>
    <t>Rem chq IDS</t>
  </si>
  <si>
    <t>Encaissement CEMOI</t>
  </si>
  <si>
    <t>Frais Encaissement CEMOI</t>
  </si>
  <si>
    <t>Rem Chq SOFID-RMI-IRES-SOFID-LA ROUTE AFRICAINE-SOGENA</t>
  </si>
  <si>
    <t>Rem Chq CONTINENTAL SHIPPING-SUCAF-GROUP CAR LINES</t>
  </si>
  <si>
    <t>Rem Chq AIC-SIPROCHIM-AIRONE-FRANZETTI-COCITAM</t>
  </si>
  <si>
    <t>Agios du 30/09 au 31/10/21</t>
  </si>
  <si>
    <t>Vir MOTA ENGIL</t>
  </si>
  <si>
    <t>4034318</t>
  </si>
  <si>
    <t>Salaires Septembre 2021</t>
  </si>
  <si>
    <t>Salaires Octobre 2021</t>
  </si>
  <si>
    <t>4034317</t>
  </si>
  <si>
    <t>Chq IMPOTS LOYER</t>
  </si>
  <si>
    <t>Rem Chq EIS-CONTINENTAL SHIPPING-AMS-SAEPP-ARIBAT</t>
  </si>
  <si>
    <t>SOS Abidjan NOVEMBRE 2021</t>
  </si>
  <si>
    <t>Vir CAREC 000489</t>
  </si>
  <si>
    <t>Vir EBUTRANS 21/0440-0499-0522-0498</t>
  </si>
  <si>
    <t>Vir CMID 000343-388-389</t>
  </si>
  <si>
    <t>Vir SIDECI 0925/FT139713-1160/FT139945-1234/FT140018-21 319 I091/1304</t>
  </si>
  <si>
    <t>Vir CENTRIMEX FAC VME21090189</t>
  </si>
  <si>
    <t>Vir NERE Loyer Oct 21 - Nov 21</t>
  </si>
  <si>
    <t>Vir SERENITY 2021-2022</t>
  </si>
  <si>
    <t>Vir RDT 7656486</t>
  </si>
  <si>
    <t>4034319</t>
  </si>
  <si>
    <t>Rem Chq SIC5E-LASSIRE-SOTICI</t>
  </si>
  <si>
    <t>Rem Chq SOLIBRA-CARENA-SOLIBRA-SOLIBRA</t>
  </si>
  <si>
    <t>Rem Chq NGANDOUR-NUTRI FOOD-2I IVOIRE INGENIERIE</t>
  </si>
  <si>
    <t>Vir EBUTRANS douane 21/0707</t>
  </si>
  <si>
    <t>Rem Chq AMDS-LASSIRE-ENGIES-CARGILL-ATOU-SOTACI</t>
  </si>
  <si>
    <t>Rem Chq LASSIRE-SEM-LOGIS-UNIWAX-CLEAN EBURNIE-CAS-SUCAF</t>
  </si>
  <si>
    <t>4034320</t>
  </si>
  <si>
    <t>Chq IMPOTS SUR LE LOYER</t>
  </si>
  <si>
    <t>Vir EBUTRANS 21/0745</t>
  </si>
  <si>
    <t>Versement espèces</t>
  </si>
  <si>
    <t>Vir LIMAK AFRIKA</t>
  </si>
  <si>
    <t>Rem Chq SIF PLAST-INTELEC-SPIE FONDATION-RMI-CIE CACAOYERE BANDAMA-SATOM</t>
  </si>
  <si>
    <t>Rem Chq ADEMAT-ATR-DREAM COSMETIC-SCB-IRES-GIB-ATELIER ET DIVERS-SCTII</t>
  </si>
  <si>
    <t>Agios du 31/10 au 30/11/21</t>
  </si>
  <si>
    <t>Salaires Novembre 2021</t>
  </si>
  <si>
    <t>SOS Abidjan DECEMBRE 2021</t>
  </si>
  <si>
    <t>VIREMENT TENTE 207511-204271</t>
  </si>
  <si>
    <t>VIREMENT INOXMARE 114779</t>
  </si>
  <si>
    <t>Rem Chq SUCRIVOIRE</t>
  </si>
  <si>
    <t>Rem Chq  GIB-ACTIS-AIC-COCITAM</t>
  </si>
  <si>
    <t>Vir CAREC 18-319-5072/000489</t>
  </si>
  <si>
    <t>Vir SIDECI 1160/FT139945</t>
  </si>
  <si>
    <t>Vir CMID 20,316,S023/0000402-21,316,S023/00035</t>
  </si>
  <si>
    <t>Vir EBUTRANS 21/0633-21/0595</t>
  </si>
  <si>
    <t>Vir NERE Loyer Dec 2021</t>
  </si>
  <si>
    <t>Vir Primes 2021</t>
  </si>
  <si>
    <t>Vir EBUTRANS douane 21/0798</t>
  </si>
  <si>
    <t>Rem Chq IVOIRE COTON-ATN</t>
  </si>
  <si>
    <t>Rem Chq FLEPACI-PRESTIGE AUTO-SDCI-NGANDOUR-CADERAC</t>
  </si>
  <si>
    <t>Rem Chq SDIPM-LASSIRE-SOLIBRA-SOTICI-DREAM COSMETICS-NUTRI FOOD-FTCI-NG PAGANI</t>
  </si>
  <si>
    <t>4034323</t>
  </si>
  <si>
    <t>4034322</t>
  </si>
  <si>
    <t>Rem Chq SOFID-ENGIE-LASSIRE-CIA</t>
  </si>
  <si>
    <t>Vir EBUTRANS 21/0827</t>
  </si>
  <si>
    <t>Vir EBUTRANS 21/0865</t>
  </si>
  <si>
    <t>Rem Chq 2I IVOIRE-GROUP CARLINE</t>
  </si>
  <si>
    <t>Rem Chq SOGECAR</t>
  </si>
  <si>
    <t>Rem Chq GIB-GROUP CAR LINES-SIF PLAST-AMS</t>
  </si>
  <si>
    <t>Salaires Décembre 2021</t>
  </si>
  <si>
    <t>4034324</t>
  </si>
  <si>
    <t>Agios du 30/11 au 31/12/21</t>
  </si>
  <si>
    <t>Rem Chq SETELCI</t>
  </si>
  <si>
    <t>Rem Chq CIMAF</t>
  </si>
  <si>
    <t>Rem Chq ECOTI-ECOTI-ATR</t>
  </si>
  <si>
    <t>Rem Chq COCITAM-SATOM-CADERAC-SOETIC-ETB SARL</t>
  </si>
  <si>
    <t>SOS Abidjan JANVIER 2022</t>
  </si>
  <si>
    <t>Rem Chq IRES-PRO LOGISTICS</t>
  </si>
  <si>
    <t>Chq ETS TRAORE SAMBA</t>
  </si>
  <si>
    <t>Chq IMPOTS SUR LOYER</t>
  </si>
  <si>
    <t>5781020</t>
  </si>
  <si>
    <t>Rem Chq AIC-AIC-BIG CIM-SOTACI-CEMOI-AIRONE-DREAM COSMETICS-SOTICI-DIBEX</t>
  </si>
  <si>
    <t>Rem Chq RAZEL</t>
  </si>
  <si>
    <t>Chq IMPOTS 2020</t>
  </si>
  <si>
    <t>Rem Chq IVOSEP-NP NGANDOUR-NUTRI FOOD</t>
  </si>
  <si>
    <t>Vir OPHIR GRAPHIC Jan 22</t>
  </si>
  <si>
    <t>Vir EBUTRANS 21/0707-21/0745</t>
  </si>
  <si>
    <t>Vir NORD SUD CTI 47500/126258-126250</t>
  </si>
  <si>
    <t>Vir CMID 21 316 523/00041-56-61</t>
  </si>
  <si>
    <t>Vir NERE Loyer Jan 2022</t>
  </si>
  <si>
    <t>Vir SIDECI 1160/FT139945-1633/FT140414</t>
  </si>
  <si>
    <t>Vir EBUTRANS 22/0011</t>
  </si>
  <si>
    <t>5780876</t>
  </si>
  <si>
    <t>Chq IMPOTS CNPS</t>
  </si>
  <si>
    <t>4034325</t>
  </si>
  <si>
    <t>VIREMENT IMPOTS TSE</t>
  </si>
  <si>
    <t xml:space="preserve">VIREMENT IMPOTS </t>
  </si>
  <si>
    <t>Vir MAURIN Jan 22</t>
  </si>
  <si>
    <t>5780877</t>
  </si>
  <si>
    <t>Frais de Forcage</t>
  </si>
  <si>
    <t>Chq Droits de douane BCF210025</t>
  </si>
  <si>
    <t>Rem Chq MONDI-UNIWAX-ACIERIES-SCB-SPIE FONDATION-CHAMETAL-ARIBAT</t>
  </si>
  <si>
    <t>Rem Chq MIPA-SCODI-SDGISN-LASSIRE-SPAC-INPROBOIS-SEM ENTREPRISE</t>
  </si>
  <si>
    <t>Vir FILATURES TISSAGES SACS</t>
  </si>
  <si>
    <t>5780878</t>
  </si>
  <si>
    <t>Rem Chq BOUYGUES</t>
  </si>
  <si>
    <t>Vir GCCI CI</t>
  </si>
  <si>
    <t>Rem Chq THELEN-ACIS-SOGENA</t>
  </si>
  <si>
    <t>Agios du 31/12/21 au 31/01/22</t>
  </si>
  <si>
    <t>Vir EBUTRANS 22/0110</t>
  </si>
  <si>
    <t>Salaires Janvier 2022</t>
  </si>
  <si>
    <t>Rem Chq RMI-SITBAI-COCITAM-USICHROM-IVMCI</t>
  </si>
  <si>
    <t>Vir FEROUEST</t>
  </si>
  <si>
    <t>Vir NORD SUD CTI 47500/129303-47500/130195</t>
  </si>
  <si>
    <t>Vir EBUTRANS 21319R009/379/21/798-440/21/0827</t>
  </si>
  <si>
    <t>Vir RDT 7662686</t>
  </si>
  <si>
    <t>Vir CENTRIMEX VITF105698</t>
  </si>
  <si>
    <t>Vir SIDECI 21 319 I091/1833</t>
  </si>
  <si>
    <t>Vir CMID 21 316 S023/000160-000198</t>
  </si>
  <si>
    <t>Vir SOCIETE NERE Loyer Fevrier 2022</t>
  </si>
  <si>
    <t>Rem Chq SNEC INDUSTRIE-ETS IMP</t>
  </si>
  <si>
    <t xml:space="preserve">Rem Chq CCB-SIPRO CHIM-PROTECT ALU-SOFID-IRES-RMI-SIVOP-IRES-GROUP CAR LINE </t>
  </si>
  <si>
    <t>Vir EBUTRANS 22/0131</t>
  </si>
  <si>
    <t>Rem Chq CEMOI-CEMOI CHOCOLAT-SDGISN-CARGILL COCOA</t>
  </si>
  <si>
    <t>Rem Chq AIC-ADEMAT-LASSIRE INDUSTRIE</t>
  </si>
  <si>
    <t>SOS Abidjan FEVRIER 2022</t>
  </si>
  <si>
    <t>Rem Chq LA ROUTE AFRICAINE-AMDS 2X-UNIWAX-2I IVOIRE-2 TM-EUROLAIT-SOMEG-CIMAS</t>
  </si>
  <si>
    <t>5780879</t>
  </si>
  <si>
    <t>Chq IMPOTS LOYER FEVRIER 2022</t>
  </si>
  <si>
    <t>Vir DGI</t>
  </si>
  <si>
    <t>Vir EBUTRANS 22/0173</t>
  </si>
  <si>
    <t>Rem Chq EXAT-FTCI-SOLIBRA 2X-EXAT-SIPRO CHIM-COCITAM</t>
  </si>
  <si>
    <t>Rem Chq PRESTIGE AUTO-PALMAFRIQUE-BESIX-SOFID</t>
  </si>
  <si>
    <t>Vir EBUTRANS 22/0180</t>
  </si>
  <si>
    <t>Chq IMPOTS SUR LE LOYER Jan 2022</t>
  </si>
  <si>
    <t>Vir TENTE BCF210020</t>
  </si>
  <si>
    <t>Rem Chq SDIPM-CARENA-FLEPACI-PESCHAUD-CARGILL-SIDMATE-NUTRIFOOD</t>
  </si>
  <si>
    <t>Salaires Fevrier 2022</t>
  </si>
  <si>
    <t>Agios du 31/01 au 28/02/22</t>
  </si>
  <si>
    <t>SOS Abidjan MARS 2022</t>
  </si>
  <si>
    <t>Rem Chq SIDECI-SIDECI-ACTIS-SIDECI-CAS EQUIPEMENTS-ARIBAT</t>
  </si>
  <si>
    <t>Vir EBUTRANS 22/0227</t>
  </si>
  <si>
    <t>Vir EMILE MAURIN FACT 509725</t>
  </si>
  <si>
    <t>Rem Chq SE MTS-ATN-FRIEDLANDER-GROUP CAR LINES</t>
  </si>
  <si>
    <t>5780880</t>
  </si>
  <si>
    <t>5780881</t>
  </si>
  <si>
    <t>Vir NERE Loyer Mars 2022</t>
  </si>
  <si>
    <t>Vir RDT 7663820-7663824-7664161</t>
  </si>
  <si>
    <t>Vir OPHIR GRAPHIC mars 22</t>
  </si>
  <si>
    <t>Vir TTI 21319CI094/0049</t>
  </si>
  <si>
    <t>Vir SIDECI 21 319 IO91/2210-2211-2218</t>
  </si>
  <si>
    <t>Vir SERENITY SA 2021-2022</t>
  </si>
  <si>
    <t>Rem Chq EIPSI-LASSIRE INDUSTRIES</t>
  </si>
  <si>
    <t>versement espèces appro associés</t>
  </si>
  <si>
    <t>Rem Chq ATOU-ACIERIES-SAMELA-DROCOLOR-SCCI-IVOSEP</t>
  </si>
  <si>
    <t>Rem Chq AIC-SOLIBRA-CARGILL COCOA-SAEPP</t>
  </si>
  <si>
    <t>Rem Chq COCITAM-NP GANDOUR-MODI ABIDJAN-DIBEX-2I IVOIRE-SIC5E 2X</t>
  </si>
  <si>
    <t>Vir EBUTRANS 22/0258</t>
  </si>
  <si>
    <t>Vir ABEILLETON</t>
  </si>
  <si>
    <t>Vir SUCRIVOIRE</t>
  </si>
  <si>
    <t>Vir GIE GEMACI</t>
  </si>
  <si>
    <t>Vir SAPH</t>
  </si>
  <si>
    <t>Vir Appro Associe LANGLOIS</t>
  </si>
  <si>
    <t>5780883</t>
  </si>
  <si>
    <t>Vir paiement 50% patente</t>
  </si>
  <si>
    <t>Chq impots sur loyer mars 2022</t>
  </si>
  <si>
    <t>5780882</t>
  </si>
  <si>
    <t>Rem Chq LA ROUTE AFRICAINE-I TRANSMISSION-CCB-KUYO PIPELINE</t>
  </si>
  <si>
    <t>Vir PERSEUS MINING</t>
  </si>
  <si>
    <t>Rem Chq UNIWAX 3X-LASSIRE INDUSTRIE-IRES-SOFID-LASSIRE DECHETS</t>
  </si>
  <si>
    <t>Rem Chq CADERAC-PFO AFRICA-SACRI</t>
  </si>
  <si>
    <t>Agios du 28/02 au 31/03/22</t>
  </si>
  <si>
    <t>Salaires Mars 2022</t>
  </si>
  <si>
    <t>SOS Abidjan AVRIL 2022</t>
  </si>
  <si>
    <t>Chq Impaye SOFID</t>
  </si>
  <si>
    <t>frais Impaye Chq 1000242 SOFID</t>
  </si>
  <si>
    <t>5780884</t>
  </si>
  <si>
    <t>Vir MAURIN FACT 509731</t>
  </si>
  <si>
    <t>Vir INOXMARE FACT 1737</t>
  </si>
  <si>
    <t>Rem Chq EIS-ATR-PROLINE-PROLOGISTICS-SIBM-LOGIS-SOMEG-SN INDIGO</t>
  </si>
  <si>
    <t>Vir EBUTRANS 22/0357</t>
  </si>
  <si>
    <t>Vir NERE Loyer Avril 2022</t>
  </si>
  <si>
    <t>Vir SIDECI 2226/FT140991</t>
  </si>
  <si>
    <t>Vir RDT 7664906</t>
  </si>
  <si>
    <t>Vir EBUTRANS 21319R009/618-22/0110</t>
  </si>
  <si>
    <t>Chq DISA CNPS</t>
  </si>
  <si>
    <t>Rem Chq DREAM COSMETICS 3X-LA BOUTIQUE-SDGISN-CARENA 2X</t>
  </si>
  <si>
    <t>Rem Chq RAZEL-SCB</t>
  </si>
  <si>
    <t xml:space="preserve">Vir Impots </t>
  </si>
  <si>
    <t>5780885</t>
  </si>
  <si>
    <t>Rem Chq SOFID</t>
  </si>
  <si>
    <t>Frais DGI</t>
  </si>
  <si>
    <t>Vir CCIFCI Formation Tanoh</t>
  </si>
  <si>
    <t>Rem Chq NUTRI FOOD-SISAG-UNIWAX-SEM</t>
  </si>
  <si>
    <t>Vir NERE Loyer Mai 2022</t>
  </si>
  <si>
    <t>Vir CMID 21 316 SO23/000241-246-253-254</t>
  </si>
  <si>
    <t>Vir SIDECI 2314/FT141078-2315/FT141079-21 319 IO91/2617-21 319 IO91/2705/FT141462</t>
  </si>
  <si>
    <t>Vir EBUTRANS 22/0173-22/0180</t>
  </si>
  <si>
    <t>Rem Chq 2TM-SPTS INTER-USICHROM</t>
  </si>
  <si>
    <t>Salaires Avril 2022</t>
  </si>
  <si>
    <t>Vir EBUTRANS 22/0445</t>
  </si>
  <si>
    <t>Agios du 31/03 au 30/04/22</t>
  </si>
  <si>
    <t>SOS Abidjan MAI 2022</t>
  </si>
  <si>
    <t>5780886</t>
  </si>
  <si>
    <t>Vir MAURIN FACT 621320,651532 + AVANCE 646990</t>
  </si>
  <si>
    <t>Vir TENTE FACT V5 214855</t>
  </si>
  <si>
    <t>Rem Chq ACIERIES IMPAYE DU 29/03/22</t>
  </si>
  <si>
    <t>Rem Chq SOGENA-DREAM COSMETICS-SOTICI</t>
  </si>
  <si>
    <t>Vir MODEC</t>
  </si>
  <si>
    <t>Rem Chq DOMINIUM SERVICES</t>
  </si>
  <si>
    <t>Rem Chq SOFID-RMI-RMI-RMI-IRES</t>
  </si>
  <si>
    <t>Rem Chq PFO-MEDLOG-SIDECI 2X-FRANZETTI-NELL MICI EMBACI-SIC5E</t>
  </si>
  <si>
    <t xml:space="preserve">Chq impots sur loyer Avril 2022 </t>
  </si>
  <si>
    <t>Rem Chq UNIWAX-CARENA-UNIWAX-MATIERE IVOIRE</t>
  </si>
  <si>
    <t>Rem Chq ADEMAT-COCITAM-CADERAC-AMDS-CEMOI 2X</t>
  </si>
  <si>
    <t>Vir EBUTRANS 22/0501</t>
  </si>
  <si>
    <t>5780888</t>
  </si>
  <si>
    <t>5780887</t>
  </si>
  <si>
    <t>Vir EVIOSYS PACKAGING SIEM</t>
  </si>
  <si>
    <t>Frais Enregistrement Nantissement 20Mo</t>
  </si>
  <si>
    <t>Chq Hotel LA TERRASSE</t>
  </si>
  <si>
    <t>Rem Chq 2TM</t>
  </si>
  <si>
    <t>Rem Chq IRES-CI AFRIQUE-USICHROM-ATOU-CIA-UNIWAX-PFO</t>
  </si>
  <si>
    <t>5780889</t>
  </si>
  <si>
    <t>Salaires Mai 2022</t>
  </si>
  <si>
    <t xml:space="preserve">Chq impots sur loyer Mai 2022 </t>
  </si>
  <si>
    <t>Agios du 30/04 au 31/05/22</t>
  </si>
  <si>
    <t>Vir PRAGMA FORMATION Regul FDFP 2021</t>
  </si>
  <si>
    <t>Vir CCI France 745/2022</t>
  </si>
  <si>
    <t>Vir CENTRIMEX VITF201818-VITF201792</t>
  </si>
  <si>
    <t>Vir MEDIAROCH 25</t>
  </si>
  <si>
    <t>Vir RDT 7665565-7666528</t>
  </si>
  <si>
    <t>Vir EBUTRANS 22/0227-22/0258</t>
  </si>
  <si>
    <t>Vir EIS CI 000179-000219-000287</t>
  </si>
  <si>
    <t>Vir EBUTRANS 22/0494</t>
  </si>
  <si>
    <t>Rem Chq SIDMATE-IVOSEP-IVOSEP</t>
  </si>
  <si>
    <t>SOS Abidjan JUIN 2022</t>
  </si>
  <si>
    <t>5780890</t>
  </si>
  <si>
    <t xml:space="preserve">Chq BOCO STEEV PAGAL </t>
  </si>
  <si>
    <t>Rem Chq SOLIBRA-BOUYGUES-ATN-SIPRO CHIM-NUTRI FOOD</t>
  </si>
  <si>
    <t>Vir MAURIN solde FA621320 et FA646990</t>
  </si>
  <si>
    <t>Vir EBUTRANS 22/0555-0578-0579</t>
  </si>
  <si>
    <t>Rem Chq 2I IVOIRE-AIC-PRESTIGE AUTO-THELEN-MICI EMBACI-UNIWAX 2X</t>
  </si>
  <si>
    <t>5780891</t>
  </si>
  <si>
    <t>Vir NERE Loyer Juin 2022</t>
  </si>
  <si>
    <t>5780892</t>
  </si>
  <si>
    <t>5780893</t>
  </si>
  <si>
    <t>Chq renouvellement bail magasin</t>
  </si>
  <si>
    <t xml:space="preserve">Chq impots sur loyer Juin 2022 </t>
  </si>
  <si>
    <t xml:space="preserve">virement impôts BIC </t>
  </si>
  <si>
    <t>Chq Impaye ATN??</t>
  </si>
  <si>
    <t>Frais Chq Impaye</t>
  </si>
  <si>
    <t>Rem Chq MIPA-CEMOI 2X</t>
  </si>
  <si>
    <t>Rem Chq SCB-LES CENTAURES-SPAC-SOFID-SDGISN-EMI-IRES-LASSIRE INDUSTRIE</t>
  </si>
  <si>
    <t>Rem Chq SCODI-SOTACI-SOGENA-DROCOLOR</t>
  </si>
  <si>
    <t>Rem Chq SIBM-LASSIRE-COCITAM-SOLIBRA-ACTIS CI-SETEL CI-BESIX-I TRANSMISSION</t>
  </si>
  <si>
    <t>Rem Chq PFO-UNIWAX 3X-CEMOI-PALMAFRIQUE-SEM ENTREPRISES</t>
  </si>
  <si>
    <t>Salaires Juin 2022</t>
  </si>
  <si>
    <t>Agios du 31/05 au 30/06/22</t>
  </si>
  <si>
    <t>SOS Abidjan JUILLET 2022</t>
  </si>
  <si>
    <t>Rem Chq MONDI-CARGILL-SE MTS-FRIEDLANDER-SN INDIGO-SOFIM</t>
  </si>
  <si>
    <t>Vir EBUTRANS 22/0642</t>
  </si>
  <si>
    <t>Vir NERE Loyer Juillet 2022</t>
  </si>
  <si>
    <t>Vir CENTRIMEX VITF202120-202121-202123</t>
  </si>
  <si>
    <t>Vir EBUTRANS 22/0357-22/0445</t>
  </si>
  <si>
    <t>Vir SIDECI FT141932-22313IO91/3388</t>
  </si>
  <si>
    <t>Vir PRAGMA Regul FDFP 2021</t>
  </si>
  <si>
    <t>Vir INOXMARE FACTURE 11080</t>
  </si>
  <si>
    <t>Vir TENTE FACTURE V5222867</t>
  </si>
  <si>
    <t>Rem Chq CARENA-USICHROM 2X-</t>
  </si>
  <si>
    <t>Vir FILATURES TISSAGES</t>
  </si>
  <si>
    <t>Vir EBUTRANS 22/0684</t>
  </si>
  <si>
    <t>5780894</t>
  </si>
  <si>
    <t>5780895</t>
  </si>
  <si>
    <t>5780896</t>
  </si>
  <si>
    <t>VIREMENT IMPOTS</t>
  </si>
  <si>
    <t>Rem Chq CADERAC-EUROLAIT-SITBAI-LES CENTAURES-SIDECI 2X-SDIPM</t>
  </si>
  <si>
    <t>Rem Chq SOTACI-ETATS NEWS-SOFID</t>
  </si>
  <si>
    <t>Vir CHAVESBAO BCF220014</t>
  </si>
  <si>
    <t>Versement espèces appro associés</t>
  </si>
  <si>
    <t>Vir EBUTRANS 22/0736</t>
  </si>
  <si>
    <t>Rem Chq ATN-PRO INDUSTRIE-NUTRI FOOD-SIDMATE-NP GANDOUR-AIC</t>
  </si>
  <si>
    <t>Rem Chq RAZEL-HOTEL TIAMA</t>
  </si>
  <si>
    <t>Rem Chq IVOIRE INGENIERIE</t>
  </si>
  <si>
    <t>Rem Chq LA ROUTE AFRICAINE-TC-COCITAM-CEFIND</t>
  </si>
  <si>
    <t>Rem Chq CONTINENTAL BEVERAGE</t>
  </si>
  <si>
    <t>5780898</t>
  </si>
  <si>
    <t>Chq IMPOTS  LOYER NERE</t>
  </si>
  <si>
    <t xml:space="preserve"> Chq REGLEMENT CNPS</t>
  </si>
  <si>
    <t>5780897</t>
  </si>
  <si>
    <t>Vir EMILE MAURIN FACT 913624</t>
  </si>
  <si>
    <t>Vir INDEX FACTURE 24171 DU 19/07/22</t>
  </si>
  <si>
    <t>Rem Chq INDUSBOIS-IRES</t>
  </si>
  <si>
    <t>Salaires Juillet 2022</t>
  </si>
  <si>
    <t>5780899</t>
  </si>
  <si>
    <t>Rem Chq INPROBOIS-RMI-MONDI-PROLINE-COLAS-UNIWAX</t>
  </si>
  <si>
    <t>5780900</t>
  </si>
  <si>
    <t>Agios du 30/06 au 31/07/22</t>
  </si>
  <si>
    <t>5780901</t>
  </si>
  <si>
    <t>Vir ESA EGLIN</t>
  </si>
  <si>
    <t>Vir EBUTRANS 22/0889</t>
  </si>
  <si>
    <t>5780902</t>
  </si>
  <si>
    <t>5780903</t>
  </si>
  <si>
    <t>5780904</t>
  </si>
  <si>
    <t>Vir NERE Loyer Aout 2022</t>
  </si>
  <si>
    <t>Vir RDT 7670276</t>
  </si>
  <si>
    <t>Vir EBUTRANS 22319R009/1343-1356-1404-1405-1406</t>
  </si>
  <si>
    <t>Vir CENTRIMEX VITF202335</t>
  </si>
  <si>
    <t>Vir CMID 21 316 SO23/00670</t>
  </si>
  <si>
    <t>Vir PRAGMA Formation Regul FDFP 2021</t>
  </si>
  <si>
    <t>Rem Chq ARIBAT-BESIX-ADEMAT-FRIEDLANDER-SAMELA-LASSIRE DECHETS-LASSIRE INDUSTRIE</t>
  </si>
  <si>
    <t>Rem Chq MICI EMBACI-EXAT-UNIWAX 2X-USICHROM-SIVOP-SKCI</t>
  </si>
  <si>
    <t>Rem Chq BESIX-SCB-COCITAM</t>
  </si>
  <si>
    <t>Rem Chq ECOTI</t>
  </si>
  <si>
    <t>Vir MAURIN FACTURE 946369</t>
  </si>
  <si>
    <t>Rem Chq CI THERM-LASSIRE INDUSTRIE</t>
  </si>
  <si>
    <t>Rem Chq PROLINE-IRES-UNIWAX-INPROBOIS-CARENA-SEM ENTREPRISES</t>
  </si>
  <si>
    <t xml:space="preserve">Chq impots sur loyer JUILLET 2022 </t>
  </si>
  <si>
    <t xml:space="preserve">Chq impots sur loyer AOUT 2022 </t>
  </si>
  <si>
    <t>Chq CARTOUCHE ENCRE EIEE ENTREPRISE</t>
  </si>
  <si>
    <t>SOS Abidjan AOUT 2022</t>
  </si>
  <si>
    <t>Chq REGLEMENT HONORAIRE HUISSIER</t>
  </si>
  <si>
    <t>Chq IMPOTS BIC 2IEME VERSEMENT</t>
  </si>
  <si>
    <t>Vir JULAYA CI</t>
  </si>
  <si>
    <t>Vir EBUTRANS 22/0909</t>
  </si>
  <si>
    <t>Vir EBUTRANS 22/0908</t>
  </si>
  <si>
    <t>Rem Chq SOGECAR-AIC-EUROLAIT-ECO EBURNIE-SITBAI-SOGENA-RAZEL-SOFID-EXAT-2I IVOIRE</t>
  </si>
  <si>
    <t>Agios du 31/07 au 31/08/22</t>
  </si>
  <si>
    <t>SOS Abidjan SEPTEMBRE 2022</t>
  </si>
  <si>
    <t>Salaires Aout 2022</t>
  </si>
  <si>
    <t>Frais de forcage</t>
  </si>
  <si>
    <t>Rem Chq SAREPT-CEMOI-SIPRO CHIM-SOUDOTEC-SCTII 2X</t>
  </si>
  <si>
    <t>5780905</t>
  </si>
  <si>
    <t>Vir Impôts IMF</t>
  </si>
  <si>
    <t>Rem Chq SOTACI-PALMAFRIQUE-THELEN</t>
  </si>
  <si>
    <t>Vir NERE Loyer Sept 2022</t>
  </si>
  <si>
    <t>Vir EBUTRANS 22319R009/0001474-1510-1552</t>
  </si>
  <si>
    <t>Vir CENTRIMEX VITF203281-VITF203283</t>
  </si>
  <si>
    <t>Vir CAREC 21319IO98/000279</t>
  </si>
  <si>
    <t>Vir SIDECI FT142624/3886-FT142811/4078</t>
  </si>
  <si>
    <t>Vir RDT 7669906-7671397</t>
  </si>
  <si>
    <t>Rem Chq SCB-ACIERIES-LES CENTAURES ROUTIERS-SOFIM-IVOSEP-SOLIBRA</t>
  </si>
  <si>
    <t>Rem Chq SDIPM-AIKA CONSTRUCTION-CCB-CCB</t>
  </si>
  <si>
    <t>Rem Chq SCCI-UNIWAX-CEMOI-LASSIRE INDUSTRIE</t>
  </si>
  <si>
    <t>Vir EBUTRANS 22/0962</t>
  </si>
  <si>
    <t>Rem Chq COCITAM-EUROLAIT-CADERAC-SLA-SOFID</t>
  </si>
  <si>
    <t>Rem Chq SIBM-SKCI-LASSIRE DECHETS-I TRANSMISSIONS</t>
  </si>
  <si>
    <t>Vir CHAVESBAO BCF220021 Pro forma 5685</t>
  </si>
  <si>
    <t>Rem Chq TERMINAL VRAQUIER-ETS KADYDIER-STE MINIERE LA LOBO-IRES-INTRATEC-SOGECAR-EIPSI-BOUYGUES</t>
  </si>
  <si>
    <t>Vir EBUTRANS 1060-22</t>
  </si>
  <si>
    <t>Rejet Vir NERE loyer Sept 2022</t>
  </si>
  <si>
    <t>5780907</t>
  </si>
  <si>
    <t>5780906</t>
  </si>
  <si>
    <t>5780908</t>
  </si>
  <si>
    <t>Salaires Sept 2022</t>
  </si>
  <si>
    <t>Rem Chq SOTACI-PFO-PFO-NP GANDOUR-KUYO PIPELINE-PROTECT ALU</t>
  </si>
  <si>
    <t>Rem Chq LASSIRE INDUSTRIE-BOUYGUES-COLAS AFRIQUE</t>
  </si>
  <si>
    <t>SOS Abidjan OCTOBRE 2022</t>
  </si>
  <si>
    <t>Agios du 31/08 au 30/09/22</t>
  </si>
  <si>
    <t>Vir CARGILL</t>
  </si>
  <si>
    <t>Vir INOXMARE BCF220016 FACTURE 19804</t>
  </si>
  <si>
    <t>Vir NOPCI</t>
  </si>
  <si>
    <t>Rem Chq SIDECI 2X-TRANS ROULEMENT-SOFIM-NORCOCI JANV/FEV/MARS 2022</t>
  </si>
  <si>
    <t>Chq Impots sur Loyer</t>
  </si>
  <si>
    <t>Vir SOCIETE AFRICAINE DE CACAO</t>
  </si>
  <si>
    <t>Vir CAREC 21319IO98/000279 bis</t>
  </si>
  <si>
    <t>Vir SOFID 22316ZO31/000858-867-928-1058-1057</t>
  </si>
  <si>
    <t>Vir CMID 31316SO23/00702-298</t>
  </si>
  <si>
    <t>Vir SIDECI FT143014</t>
  </si>
  <si>
    <t>Vir SIDAM Assurance SOS 2022-2023</t>
  </si>
  <si>
    <t>Vir RDT 7672642</t>
  </si>
  <si>
    <t>Vir EBUTRANS 1685-1717-1727</t>
  </si>
  <si>
    <t>Vir IMPOTS TVA/SALAIRES/APPRENTISSAGE</t>
  </si>
  <si>
    <t>Vir IMPOTS DROITS DE TIMBRE</t>
  </si>
  <si>
    <t>Vir IMPOTS TAXE SPECIALE EQUIPEMENT TSE</t>
  </si>
  <si>
    <t>5780910</t>
  </si>
  <si>
    <t>5780912</t>
  </si>
  <si>
    <t>5780909</t>
  </si>
  <si>
    <t>Rem Chq DREAM COSMETICS 2X-EIPSI SARL-UNIWAX 2X</t>
  </si>
  <si>
    <t>Vir CLEAN EBURNIE</t>
  </si>
  <si>
    <t>Rem Chq AIC-NVELLE MICI EMBACI-ESSOR INDUSTRIE ET SERVICES</t>
  </si>
  <si>
    <t>Vir RFCT</t>
  </si>
  <si>
    <t>Ext Agios du 31/08 au 30/09/22</t>
  </si>
  <si>
    <t>Rem Chq USICHROM-COCITAM</t>
  </si>
  <si>
    <t>5780911</t>
  </si>
  <si>
    <t>Chq NERE LOYER ANNULE</t>
  </si>
  <si>
    <t>5780913</t>
  </si>
  <si>
    <t xml:space="preserve">Chq IMPOT LOYER SOCIETE NERE </t>
  </si>
  <si>
    <t>Chq Impots sur Loyer NERE</t>
  </si>
  <si>
    <t>Chq IMPOT CNPS</t>
  </si>
  <si>
    <t>Rem Chq PFO AFRICA-SOFIM</t>
  </si>
  <si>
    <t>Vir TENTE FACT V5 226601</t>
  </si>
  <si>
    <t>Rem Chq SOFID-INTRATEC-LASSIRE-GIE GEMACI-2TM</t>
  </si>
  <si>
    <t>Vir B STEEL</t>
  </si>
  <si>
    <t>Vir EBUTRANS Douane 22-1195 / 22-1196 / 22-1179</t>
  </si>
  <si>
    <t>Rem Chq KUYO PIPELINE-UNIWAX-IVOSEP-MIPA-RAZEL-SIC 5E</t>
  </si>
  <si>
    <t>Retrait espece LOYER SEPT/OCT 2022</t>
  </si>
  <si>
    <t>5780914</t>
  </si>
  <si>
    <t>Salaires Oct 2022</t>
  </si>
  <si>
    <t>Rem Chq AFRICA GLOBAL MARKET-SOLIBRA-SE MTS-SCCI</t>
  </si>
  <si>
    <t>Agios du 30/09 au 31/10/22</t>
  </si>
  <si>
    <t>Rem Chq EMI SARL-THELEN-BOUYGUES</t>
  </si>
  <si>
    <t>5780915</t>
  </si>
  <si>
    <t>Rem Chq USICHROM-RMI 2X-TC AFRIQUE-CARENA-SIDECI</t>
  </si>
  <si>
    <t>5780916</t>
  </si>
  <si>
    <t>5780917</t>
  </si>
  <si>
    <t>Chq OIM TRAVEL billet d'avion</t>
  </si>
  <si>
    <t>Chq avance hotel LA TERRASSE</t>
  </si>
  <si>
    <t>Vir EMILE MAURIN Facture 301606 BCF220015</t>
  </si>
  <si>
    <t>Vir SOFID 1765</t>
  </si>
  <si>
    <t>Vir CENTRIMEX VITF203790</t>
  </si>
  <si>
    <t>Vir EBUTRANS 1818-1859</t>
  </si>
  <si>
    <t>Vir NERE Loyer Nov 2022</t>
  </si>
  <si>
    <t>frais Impaye Chq EMI</t>
  </si>
  <si>
    <t>frais Impaye Chq AFRICA GLOBAL MARKET</t>
  </si>
  <si>
    <t>Chq Impaye EMI</t>
  </si>
  <si>
    <t>Chq Impaye AFRICA GLOBAL MARKET</t>
  </si>
  <si>
    <t>Chq LES FER D’AFRIQUE</t>
  </si>
  <si>
    <t>Rem Chq LA ROUTE AFRICAINE-SCODI-LASSIRE INDUSTRIE</t>
  </si>
  <si>
    <t>Rem Chq B STEEL</t>
  </si>
  <si>
    <t>5780918</t>
  </si>
  <si>
    <t>5780919</t>
  </si>
  <si>
    <t>Rem Chq ARIBAT-ADEMAT-ADEMAT</t>
  </si>
  <si>
    <t>Rem Chq PRO LOGISTICS-ECO EBURNIE-MONDI</t>
  </si>
  <si>
    <t>Rem Chq AFRICA GLOBAL MARKET</t>
  </si>
  <si>
    <t>Vir ABRASIVOS GRINDING FACT147472 BCF220024</t>
  </si>
  <si>
    <t>Rem Chq CARENA-SDIPM-ABIBAT-LUBITECH-LA FERME DE BEOUMI-CADERAC-USICHROM-SOGENA-SOUDOTEC</t>
  </si>
  <si>
    <t>Vir EBUTRANS dossier 22/1331</t>
  </si>
  <si>
    <t>Vir EBUTRANS dossier 22/1313</t>
  </si>
  <si>
    <t>5780920</t>
  </si>
  <si>
    <t>SOS Abidjan NOVEMBRE 2022</t>
  </si>
  <si>
    <t>Salaires Nov 2022</t>
  </si>
  <si>
    <t>Rem Chq BESIX-SOTACI-EUROLAIT-SOLIBRA</t>
  </si>
  <si>
    <t>Rem Chq EIPSI-MEDLOG-BOUYGUES-HOTEL TIAMA 2X-AIRONE</t>
  </si>
  <si>
    <t>Rem Chq SA ATOU-NG PAGANI-LASSIRE DECHETS-CEMOI 2X-UNIWAX-COCITAM-NEFBA-SOFID</t>
  </si>
  <si>
    <t>Rem Chq BOUYGUES-LA BOUTIQUE-INPROBOIS</t>
  </si>
  <si>
    <t>SOS Abidjan DECEMBRE 2022</t>
  </si>
  <si>
    <t>5780921</t>
  </si>
  <si>
    <t>5780922</t>
  </si>
  <si>
    <t>Chq SOLDE LA TERRASSE</t>
  </si>
  <si>
    <t>Chq Loyer NERE</t>
  </si>
  <si>
    <t>Rem Chq USICHROM-I TRANSMISSION-LASSIRE-DORADO IVOIRY-BESIX</t>
  </si>
  <si>
    <t>Vir CHAVESBAO BCF220027</t>
  </si>
  <si>
    <t>Vir TSK</t>
  </si>
  <si>
    <t>Vir EBUTRANS Douane 22-1419</t>
  </si>
  <si>
    <t>Vir EBUTRANS Douane 22-1433</t>
  </si>
  <si>
    <t>Vir SOCIETE AFRICAINE DE PLANTATIONS</t>
  </si>
  <si>
    <t>5780923</t>
  </si>
  <si>
    <t>5780924</t>
  </si>
  <si>
    <t>Rem Chq ADEMAT-SUCRIVOIRE-SEM ENTREPRISES</t>
  </si>
  <si>
    <t>Rem Chq IVOSEP-SOTICI-BDCI</t>
  </si>
  <si>
    <t>Vir EBUTRANS 2029</t>
  </si>
  <si>
    <t>Vir HESNAULT 22211279</t>
  </si>
  <si>
    <t>Vir SIDAM SA Assurance 2022-2023</t>
  </si>
  <si>
    <t>Vir RDT 7674572-7675791</t>
  </si>
  <si>
    <t>Vir CENTRIMEX VITF204381-VITF204382</t>
  </si>
  <si>
    <t>Vir SIDECI FT143589-FT143648</t>
  </si>
  <si>
    <t>Vir EIS CI 21319R009/433</t>
  </si>
  <si>
    <t>Vir CMID 21316S023/314-319</t>
  </si>
  <si>
    <t>Rem Chq RAZEL-ARIBAT-IVOIRE INGENIERIE-INDUSBOIS-CEMOI</t>
  </si>
  <si>
    <t>Rem Chq COCITAM-LES ACIERIES</t>
  </si>
  <si>
    <t>Vir INOXMARE Fact 27347 BCF220025</t>
  </si>
  <si>
    <t>Gratifications 2022</t>
  </si>
  <si>
    <t>Rem Chq IRES-GIB-AMS</t>
  </si>
  <si>
    <t>Rem Chq ECO EBURNIE-EUROLAIT-UNIWAX-BESIX</t>
  </si>
  <si>
    <t>Vir EMILE MAURIN FA373896/AV384115 BCF220022</t>
  </si>
  <si>
    <t>Rem Chq BOUYGUES-ECOTI-NUTRI FOOD-ETAB NEWS</t>
  </si>
  <si>
    <t>Vir  ABEILLE CARRIERE</t>
  </si>
  <si>
    <t>5780925</t>
  </si>
  <si>
    <t>Chq SID INVEST</t>
  </si>
  <si>
    <t>Vir RAZEL</t>
  </si>
  <si>
    <t>Vir SOCIETE AFRICAINE CACAO</t>
  </si>
  <si>
    <t>Vir GEMACI</t>
  </si>
  <si>
    <t>Salaires Dec 2022</t>
  </si>
  <si>
    <t>Agios du 30/11 au 31/12/22</t>
  </si>
  <si>
    <t>Rem Chq NP GANDOUR-SCTII-CIMAS-COMPAGNIE CACAOYERE DU BANDAMA</t>
  </si>
  <si>
    <t>Rem Chq SGTMCI-CMR GRANIT-LASSIRE INDUSTRIE-LASSIRE DECHETS</t>
  </si>
  <si>
    <t>SOS Abidjan JANVIER 2023</t>
  </si>
  <si>
    <t>Vir INDEX Pro forma BCF220030</t>
  </si>
  <si>
    <t>5780927</t>
  </si>
  <si>
    <t>5780928</t>
  </si>
  <si>
    <t>Chq LA POSTE CI</t>
  </si>
  <si>
    <t>Vir SANGENICE Communication DEV  86</t>
  </si>
  <si>
    <t>Vir OPHIR Fact Proforma</t>
  </si>
  <si>
    <t>Vir MEDIAROCH 21316IO46/059</t>
  </si>
  <si>
    <t>Vir HESNAULT 22211977</t>
  </si>
  <si>
    <t>Vir RDT 7676383</t>
  </si>
  <si>
    <t>Vir EBUTRANS 2022-2025-2058-2063</t>
  </si>
  <si>
    <t>Vir SOFID 2899</t>
  </si>
  <si>
    <t>Vir CMID 21316SO23/322-326-327-330</t>
  </si>
  <si>
    <t>Rem Chq SEM ENTREPRISES-CACOMIAF-NUTRI FOOD</t>
  </si>
  <si>
    <t>Vir IMPOTS</t>
  </si>
  <si>
    <t>Vir IMPOTS TIMBRES</t>
  </si>
  <si>
    <t>Vir IMPOTS TAXE SPECIALE D EQUIPEMENT</t>
  </si>
  <si>
    <t>5780929</t>
  </si>
  <si>
    <t>Chq AIR COTE D IVOIRE</t>
  </si>
  <si>
    <t>5780930</t>
  </si>
  <si>
    <t>5780931</t>
  </si>
  <si>
    <t>5780932</t>
  </si>
  <si>
    <t>Rem Chq DREAM COSMETICS-SOCIETE MINIERE DE LA LOBO-SOFID-PFO AFRICA</t>
  </si>
  <si>
    <t>Rem Chq SIDECI 3X-ATOU-EIS CI-LA ROUTE AFRICAINE</t>
  </si>
  <si>
    <t>Rem Chq SN INDIGO-IDS-SCB 4X-SIBM</t>
  </si>
  <si>
    <t>Vir EBUTRANS Douane 23-0010</t>
  </si>
  <si>
    <t>Rem Chq UNIWAX-EIPSI-UNIWAX-TC AFRIQUE-SOLIBRA-SOETIC-ATR-CIDT</t>
  </si>
  <si>
    <t>5780933</t>
  </si>
  <si>
    <t>Chq IMPOT CNPS 4 ième trimestre</t>
  </si>
  <si>
    <t>5780934</t>
  </si>
  <si>
    <t>Chq CMU</t>
  </si>
  <si>
    <t>Vir EBUTRANS Douane 23-0017</t>
  </si>
  <si>
    <t>Rem Chq BIG CIM-CEFIND-GEMA CONSTRUCT-CARGILL COCOA-NP PAGANI</t>
  </si>
  <si>
    <t>Rem Chq SOFID-PFO AFRICA-COCITAM</t>
  </si>
  <si>
    <t>Vir AGBAOU GOLD OP</t>
  </si>
  <si>
    <t>Rem Chq USICHROM 2X-IVOSEP-FTCI-AIC-MEDLOG-SOGENA</t>
  </si>
  <si>
    <t>Rem Chq SOETIC-SACRI-COPACI-USICHROM</t>
  </si>
  <si>
    <t>Vir EMILE MAURIN FACT402058 BCF220026</t>
  </si>
  <si>
    <t>5780935</t>
  </si>
  <si>
    <t>Rem Chq INPROBOIS-AMDS-CIMELEC IVOIRE-B STEEL-INTRATEC-SOTACI</t>
  </si>
  <si>
    <t>Vir EBUTRANS Douane 23-0150</t>
  </si>
  <si>
    <t>Salaires Jan 2023</t>
  </si>
  <si>
    <t>SOS Abidjan FEVRIER 2023</t>
  </si>
  <si>
    <t>Agios du 31/12/22 au 31/01/23</t>
  </si>
  <si>
    <t>Vir SOFID 22316ZO31/003206</t>
  </si>
  <si>
    <t>Vir HESNAULT 22213132-22213134</t>
  </si>
  <si>
    <t>Vir EBUTRANS 2143-2149-2216</t>
  </si>
  <si>
    <t>Vir SIDECI FT144264</t>
  </si>
  <si>
    <t>Vir CMID 21316SO23/334</t>
  </si>
  <si>
    <t>Vir BOLLORE 16500/P0032958-2060012767</t>
  </si>
  <si>
    <t>Rem Chq SPY</t>
  </si>
  <si>
    <t>Rem Chq NANO-PFO-LASSIRE INDUSTRIE-ITL-ADEMAT 2X</t>
  </si>
  <si>
    <t>Rem Chq SIDMATE-MIPA-CARENA</t>
  </si>
  <si>
    <t>Vir CHAVESBAO BCF220032 PF5827</t>
  </si>
  <si>
    <t>5780936</t>
  </si>
  <si>
    <t>Rem Chq LUBITECH-CEMOI2x-UNIWAX2X-GIB</t>
  </si>
  <si>
    <t>Vir EBUTRANS Douane 23-0227</t>
  </si>
  <si>
    <t>Vir CREDIT ACCESS</t>
  </si>
  <si>
    <t>Rem Chq SIDECI-CADERAC-RAZEL</t>
  </si>
  <si>
    <t>Vir TENTE FACT V5 235352 BCF220023</t>
  </si>
  <si>
    <t>Rem Chq LUBITECH-INTELEC PROTECTION-KUYO PIPELINE-COCITAM-DREAM COSMETICS</t>
  </si>
  <si>
    <t>5780938</t>
  </si>
  <si>
    <t>5780937</t>
  </si>
  <si>
    <t>5780939</t>
  </si>
  <si>
    <t>5780940</t>
  </si>
  <si>
    <t>Vir ETS KADYDIER</t>
  </si>
  <si>
    <t>Salaires Fev 2023</t>
  </si>
  <si>
    <t>SOS Abidjan MARS 2023</t>
  </si>
  <si>
    <t>Vir DELA FAC 2302422</t>
  </si>
  <si>
    <t>Rem Chq SE MTS-FRIEDLANDER-SKCI</t>
  </si>
  <si>
    <t>Rem Chq BOUYGUES-IVOIRE COTON-LASSIRE DECHETS 2X</t>
  </si>
  <si>
    <t>Rem Chq SUCRIVOIRE-FRIEDLANDER-LASSIRE-SIVOP-SG AGRO-MEDLOG TRANSPORT-SARCI</t>
  </si>
  <si>
    <t>Rem Chq SDTM CI</t>
  </si>
  <si>
    <t>Rem Chq CCB-SCCI-EXAT 2X-SCB-INTRATEC-CARENA-CELOI-IMP-SOFIM</t>
  </si>
  <si>
    <t>Vir ABRASIVOS GRINDING FACT 151406</t>
  </si>
  <si>
    <t>Chq KEITA MAMADOU</t>
  </si>
  <si>
    <t>Vir IMPOTS REGLEMENT TVA JANVIER 2023</t>
  </si>
  <si>
    <t>Vir EMILE MAURIN FACT436735 BCF220028</t>
  </si>
  <si>
    <t>Vir INOXMARE FACT34534 BCF220029</t>
  </si>
  <si>
    <t>Rem Chq UNIWAX-SOFID</t>
  </si>
  <si>
    <t>5780941</t>
  </si>
  <si>
    <t>Rem Chq USICHROM-ADEMAT-ACTIS CI-SIPROCHIM CHIM</t>
  </si>
  <si>
    <t>Vir EBUTRANS Douane 23-0294 BCF220033</t>
  </si>
  <si>
    <t>Vir IMPOTS tva patente salaires…..</t>
  </si>
  <si>
    <t>Vir EBUTRANS 22319R009/0002375-0002390</t>
  </si>
  <si>
    <t>Vir HESNAULT 22300188</t>
  </si>
  <si>
    <t xml:space="preserve">Vir CMID 22316S023/000344-000345 </t>
  </si>
  <si>
    <t xml:space="preserve">Vir SIDECI 22319IO91/1561 </t>
  </si>
  <si>
    <t xml:space="preserve">Vir SOFID 22316ZO31/003737 </t>
  </si>
  <si>
    <t>Vir BOLLORE 1960005583</t>
  </si>
  <si>
    <t>Rem Chq SOGECAR-NP GANDOUR-RMI 3X</t>
  </si>
  <si>
    <t>5780942</t>
  </si>
  <si>
    <t>Vir FILATURES TISSAGE</t>
  </si>
  <si>
    <t>Rem Chq CIMELEC-KAMA-NORCOCI 04/05/06 2021</t>
  </si>
  <si>
    <t>Rem chq NORCOCI LOYER SS LOC 07/08/09 2021</t>
  </si>
  <si>
    <t>Rem Chq SDIPM 2X-COCITAM-LASSIRE 2X-SIF PLAST-NORCOCI 10/11/12 2021</t>
  </si>
  <si>
    <t>Rem Chq AIC-UNIWAX-CARGILL COCOA-NORCOCI 04/05/06 2022</t>
  </si>
  <si>
    <t>Rem Chq CMID-USICHROM-COLAS AFRIQUE</t>
  </si>
  <si>
    <t>5780945</t>
  </si>
  <si>
    <t>5780944</t>
  </si>
  <si>
    <t>5780943</t>
  </si>
  <si>
    <t>Chq AIR COTE D'IVOIRE</t>
  </si>
  <si>
    <t>ANNULE POUR RATURE</t>
  </si>
  <si>
    <t>Vir EBUTRANS Douane 23-0358</t>
  </si>
  <si>
    <t>Rem Chq FRANZETTI-COCITAM-PFO AFRICA-LASSIRE INDUSTRIE-NEW INDUSTRY COMPANY</t>
  </si>
  <si>
    <t>Vir EBUTRANS Douane 23-0373</t>
  </si>
  <si>
    <t>Vir EBUTRANS Douane 23-0376</t>
  </si>
  <si>
    <t>Rem Chq IVOSEP-CARENA-HYDROPLAST-SOGB-IRES</t>
  </si>
  <si>
    <t>Rem Chq CEMOI-LASSIRE-EUROLAIT-NEXANS-COPACI-SITARAIL 2X</t>
  </si>
  <si>
    <t>Vir EXPERT BETON</t>
  </si>
  <si>
    <t>Chq Impaye FRANZETTI</t>
  </si>
  <si>
    <t>5780946</t>
  </si>
  <si>
    <t>Vir ROXGOLD SANGO</t>
  </si>
  <si>
    <t>Rem Chq FRANZETTI???</t>
  </si>
  <si>
    <t>Vir EBUTRANS Douane 23-0395</t>
  </si>
  <si>
    <t>Salaires Mars 2023</t>
  </si>
  <si>
    <t>Rem Chq SCB-SOGB-DREAM COSMETIC-NP PAGANI-IVOIRE COTON-ATOU-ESSOR INDUSTRIE-PROTECT ALU</t>
  </si>
  <si>
    <t>Rem Chq SARCI-SIDECI-CADERAC-SAMES CI</t>
  </si>
  <si>
    <t>Regul NESTLE</t>
  </si>
  <si>
    <t>Rem Chq SN INDIGO-CLEAN EBURNIE-NP PAGANI-2I IVOIRE INGENIERIE</t>
  </si>
  <si>
    <t>Chq inscription CCIFCI</t>
  </si>
  <si>
    <t>Vir EMILE MAURIN FA443066 ET 50% FA547250</t>
  </si>
  <si>
    <t>SOS Abidjan AVRIL 2023</t>
  </si>
  <si>
    <t>Vir HESNAULT 22301433-22301455-22302092</t>
  </si>
  <si>
    <t>Vir EBUTRANS 22319RO09/002456-002507-002531</t>
  </si>
  <si>
    <t>Vir SIDECI FT144744-FT144818</t>
  </si>
  <si>
    <t>Vir CMID 21316SO23/00354-00355</t>
  </si>
  <si>
    <t>Vir SIDAM 2022-2023</t>
  </si>
  <si>
    <t>Vir IBIC FC220509</t>
  </si>
  <si>
    <t>Vir ABEILLE CARRIERE</t>
  </si>
  <si>
    <t>Agios du 28/03 au 31/03/23</t>
  </si>
  <si>
    <t>5780949</t>
  </si>
  <si>
    <t>5780950</t>
  </si>
  <si>
    <t>Chq DG CONSULTING</t>
  </si>
  <si>
    <t>5780947</t>
  </si>
  <si>
    <t>5780948</t>
  </si>
  <si>
    <t>Chq CNPS DISA</t>
  </si>
  <si>
    <t>Rem Chq ICO SOUDURE-FTCI-THELEN</t>
  </si>
  <si>
    <t>Rem Chq UNIWAX 2X-SIB-USICHROM-RAZEL</t>
  </si>
  <si>
    <t>5780951</t>
  </si>
  <si>
    <t>5780952</t>
  </si>
  <si>
    <t>5780953</t>
  </si>
  <si>
    <t>Chq CARO TECH (ORDINATEUR)</t>
  </si>
  <si>
    <t>Rem Chq SOFID-ADEMAT-LOGIS CI-CACOMIAF</t>
  </si>
  <si>
    <t>Vir CHAVESBAO BCF23006 PF5914</t>
  </si>
  <si>
    <t>Rem Chq SOLIBRA-CADERAC-HOTEL TIAMA 5X-CEFIND</t>
  </si>
  <si>
    <t>Vir INDEX PF 25819 BCF230009</t>
  </si>
  <si>
    <t>Chq IMPOT CNPS 1 er trimestre 2023</t>
  </si>
  <si>
    <t>5780954</t>
  </si>
  <si>
    <t>Vir BCEAO</t>
  </si>
  <si>
    <t>Rem Chq BESIX-DREAM COSMETICS-SDIPM-SAEPP-SIBM-FRANCETRUCK-SOGENA TRANSPORT</t>
  </si>
  <si>
    <t>Rem Chq SKCI-COCITAM-BUTEC</t>
  </si>
  <si>
    <t>Rem Chq ETREA SARL</t>
  </si>
  <si>
    <t>Rem Chq USICHROM-SEA INVEST-PALMAFRIQUE</t>
  </si>
  <si>
    <t>Rem Chq LASSIRE INDUSTRIE-IRES-PROLOGISTICS</t>
  </si>
  <si>
    <t>Vir FRIESLANDER</t>
  </si>
  <si>
    <t>Vir AVR SA EGLIN</t>
  </si>
  <si>
    <t>Rem Chq LASSIRE DECHETS-SCCI-NANO 2X-SDGISN-SOFID</t>
  </si>
  <si>
    <t>Salaires Avril 2023</t>
  </si>
  <si>
    <t>SOS Abidjan MAI 2023</t>
  </si>
  <si>
    <t>5780955</t>
  </si>
  <si>
    <t>5780956</t>
  </si>
  <si>
    <t>Vir EMILE MAURIN SOLDE 50% FA547250 BCF220033</t>
  </si>
  <si>
    <t>Agios du 31/03 au 30/04/23</t>
  </si>
  <si>
    <t>Agios du 31/10 au 30/11/22</t>
  </si>
  <si>
    <t>Agios du 31/01 au 28/02/23</t>
  </si>
  <si>
    <t>Rem Chq CEMOI-SARCI-UNIWAX-SEA INVEST LOGISTIQUE</t>
  </si>
  <si>
    <t>Rem Chq COLAS AFRIQUE-AIC</t>
  </si>
  <si>
    <t>Rem Chq 64 CONSTRUCTION</t>
  </si>
  <si>
    <t>Vir EBUTRANS Douane 23-0553</t>
  </si>
  <si>
    <t>Rem Chq SIPROCHIM-CARGILL COCOA-RMI-SIDECI-CARENA</t>
  </si>
  <si>
    <t>5780957</t>
  </si>
  <si>
    <t>5780958</t>
  </si>
  <si>
    <t>5780959</t>
  </si>
  <si>
    <t>Chq ETS KEITA MOUSSA</t>
  </si>
  <si>
    <t>Vir RDT 7681675</t>
  </si>
  <si>
    <t>Vir EBUTRANS 22319R009/2616-2658-2671-2696-2727</t>
  </si>
  <si>
    <t>Vir HESNAULT 22302433</t>
  </si>
  <si>
    <t>Vir CMID 21316S023/00358-362-361-375-376</t>
  </si>
  <si>
    <t>Vir BOLLORE 1960005583 3/3</t>
  </si>
  <si>
    <t>Vir SIDAM Assurance 2022-2023</t>
  </si>
  <si>
    <t>Rem Chq CADERAC-INPROBOIS-COCITAM</t>
  </si>
  <si>
    <t>5780960</t>
  </si>
  <si>
    <t>Chq AIR COTE D’IVOIRE</t>
  </si>
  <si>
    <t>Rem Chq EXAT-CAS EQUIPMENT-SCODI-2I IVOIRE</t>
  </si>
  <si>
    <t>Vir SOCIETE CULTURE BANANIERE</t>
  </si>
  <si>
    <t>Vir TENTE V5 241534</t>
  </si>
  <si>
    <t>Rem Chq SARCI-UNIWAX-AFRIC POWER-BOUYGUES-LES ACIERIES-TRANS ROULEMENT-ECO EBURNIE</t>
  </si>
  <si>
    <t>Rem Chq LASSIRE INDUSTRIE-DREAM COSMETICS-ETREA-BIG CIM</t>
  </si>
  <si>
    <t>Chq Loyer NERE Annule</t>
  </si>
  <si>
    <t>Frais Opposition Chq 5780947</t>
  </si>
  <si>
    <t>Salaires Mai 2023</t>
  </si>
  <si>
    <t>Chq Loyer NERE AVRIL ET MAI 2023</t>
  </si>
  <si>
    <t>SOS Abidjan JUIN 2023</t>
  </si>
  <si>
    <t>Chq Règlement contrôle CNPS</t>
  </si>
  <si>
    <t>5780961</t>
  </si>
  <si>
    <t>5780962</t>
  </si>
  <si>
    <t>Agios du 30/04 au 31/05/23</t>
  </si>
  <si>
    <t>Rem Chq ARIBAT-ADEMAT-NUTRI FOOD-SOTICI</t>
  </si>
  <si>
    <t>Vir EBUTRANS DD EMILE MAURIN</t>
  </si>
  <si>
    <t>5780963</t>
  </si>
  <si>
    <t>Vir EMILE MAURIN FA555355/BCF230002 ET FA588082/BCF230005</t>
  </si>
  <si>
    <t>Vir EBUTRANS DD CHAVESBAO BCF230006</t>
  </si>
  <si>
    <t>Rem Chq ICO SOUDURE 2X-IRES</t>
  </si>
  <si>
    <t>Rem Chq NP GANDOUR-RMI-AIC-RAZEL-COLAS</t>
  </si>
  <si>
    <t>Vir CMID 21316SO23/000397-399</t>
  </si>
  <si>
    <t>Vir SOFID 23316ZO31/590</t>
  </si>
  <si>
    <t>Vir HESNAULT 22303528</t>
  </si>
  <si>
    <t>Vir CHAVESBAO BCF230012 PF5963 + AVOIR</t>
  </si>
  <si>
    <t>Rem Chq PROLINE-COCITAM-ADAM AFRIQUE 2X-ETREA-ICO SOUDURE</t>
  </si>
  <si>
    <t>Rem Chq UNIWAX-EIS CI-BIG CIM</t>
  </si>
  <si>
    <t>5780964</t>
  </si>
  <si>
    <t>Vir SOCIETE DES PALACES</t>
  </si>
  <si>
    <t>Rem Chq SOFID-USICHROM-BESIX-CEFIND-ECOTI</t>
  </si>
  <si>
    <t>Vir RNANO</t>
  </si>
  <si>
    <t>Vir EBUTRANS Douane 23-0795 INDEX</t>
  </si>
  <si>
    <t>Vir EBUTRANS Douane 23-0815 INOXMARE</t>
  </si>
  <si>
    <t>Vir ABRASIVOS GRINDING BCF230016</t>
  </si>
  <si>
    <t>Chq CAROTECH</t>
  </si>
  <si>
    <t>Rem Chq LASSIRE DECHETS-MEDLOG-CCB-INTELEC-CADERAC-SN INDIGO</t>
  </si>
  <si>
    <t>5780966</t>
  </si>
  <si>
    <t>5780968</t>
  </si>
  <si>
    <t>5780967</t>
  </si>
  <si>
    <t>5780965</t>
  </si>
  <si>
    <t>Agios du 31/05 au 30/06/23</t>
  </si>
  <si>
    <t>SOS Abidjan JUILLET 2023</t>
  </si>
  <si>
    <t>Rem Chq MONDI-FLEPACI</t>
  </si>
  <si>
    <t>Vir SOGEA</t>
  </si>
  <si>
    <t>Rem Chq CEMOI 2X-SCCI-ADAM AFRIQUE-I TRANSMISSION</t>
  </si>
  <si>
    <t>Vir EMILE MAURIN FA563107 BCF230004 ET FA690867 BCF230008</t>
  </si>
  <si>
    <t>5780970</t>
  </si>
  <si>
    <t>5780969</t>
  </si>
  <si>
    <t xml:space="preserve">Vir SOCIETE AFRICAINE </t>
  </si>
  <si>
    <t>Salaires Juin 2023</t>
  </si>
  <si>
    <t>Rem Chq CARENA-LASSIRE INDUSTRIE-ECO EBURNIE</t>
  </si>
  <si>
    <t>Chq enregistrement bail magasin impôts</t>
  </si>
  <si>
    <t>Chq enregistrement bail bureaux impôts</t>
  </si>
  <si>
    <t>Rem Chq 2I-THELEN</t>
  </si>
  <si>
    <t>5780971</t>
  </si>
  <si>
    <t>Vir PERSEUS MINING YAOURE</t>
  </si>
  <si>
    <t>Vir SOCIETE MINIERE DE LA LOBO</t>
  </si>
  <si>
    <t>Rem Chq DREAM COSMETICS-CACOMIAF-FTCI</t>
  </si>
  <si>
    <t>Chq Impaye THELEN</t>
  </si>
  <si>
    <t>Rem Chq RAZEL-SDIPM-SKCI-SOGEA SATOM-KUYO PIPELINE</t>
  </si>
  <si>
    <t>Fras DGI</t>
  </si>
  <si>
    <t>Vir PERSEUS Mining</t>
  </si>
  <si>
    <t>Vir PACOCI</t>
  </si>
  <si>
    <t>Vir EBUTRANS Douane 23-0907 INOXMARE</t>
  </si>
  <si>
    <t>5780972</t>
  </si>
  <si>
    <t>Rem Chq THELEN</t>
  </si>
  <si>
    <t>Vir INOXMARE Fact 9858</t>
  </si>
  <si>
    <t>Rem Chq IRES-SOTACI-SIPRO CHIM2X-SIBM</t>
  </si>
  <si>
    <t>5780973</t>
  </si>
  <si>
    <t>Frais dupl INJ 5781489 SOS BOULONNERIE</t>
  </si>
  <si>
    <t>Frais dupl INJ 5781496 SOS BOULONNERIE</t>
  </si>
  <si>
    <t>Frais dupl INJ 5781515 SOS BOULONNERIE</t>
  </si>
  <si>
    <t>Rem Chq ECOTI-CADERAC-SOFID</t>
  </si>
  <si>
    <t>Vir LA FERME DE BEOUMI</t>
  </si>
  <si>
    <t>Rem Chq CARENA-IVOSEP-CMR GRANIT</t>
  </si>
  <si>
    <t>Rem Chq INDUSBOIS-AIC-PROTECT ALU-PALMAFRIQUE</t>
  </si>
  <si>
    <t>Vir CENTRIMEX VITF302120-ROUF302240</t>
  </si>
  <si>
    <t>Vir EBUTRANS 22319R009/0002870</t>
  </si>
  <si>
    <t>Vir MEDIA@ROCH 21316IO46/078</t>
  </si>
  <si>
    <t>Vir HOTEL La TERRASSE 425475-425476</t>
  </si>
  <si>
    <t>Agios du 30/06 au 31/07/23</t>
  </si>
  <si>
    <t>Vir EBUTRANS Douane 23-0971 CHAVESBAO</t>
  </si>
  <si>
    <t>Salaires Juillet 2023</t>
  </si>
  <si>
    <t>Rem Chq ECO EBURNIE-USICHROM-LASSIRE-FLEPACI-ARIBAT</t>
  </si>
  <si>
    <t>Rem Chq EMCI SARL-FMAT D-RMI</t>
  </si>
  <si>
    <t>Rem Chq EIPSI-INTELEC-UNIWAX</t>
  </si>
  <si>
    <t>Rem Chq SARCI-LA ROUTE AFRICAINE</t>
  </si>
  <si>
    <t>Vir CENTRIMEX ROUF302534-302538</t>
  </si>
  <si>
    <t>Vir CMID 21316SO23/0412-415-416-417-420-424-434</t>
  </si>
  <si>
    <t>Vir SIDECI FT145948</t>
  </si>
  <si>
    <t>Vir SOFID 23316ZO31/0001436-1520</t>
  </si>
  <si>
    <t>Vir EBUTRANS 2995-3031-3071-3072</t>
  </si>
  <si>
    <t>Vir HESNAULT 22306230</t>
  </si>
  <si>
    <t>Vir RDT 7686433</t>
  </si>
  <si>
    <t>Vir EBUTRANS Douane 23-1001 STAYER</t>
  </si>
  <si>
    <t>Vir SOCIETE DE CULTURE BANANIERE</t>
  </si>
  <si>
    <t>Vir EBUTRANS Douane 23-1042 MAURIN</t>
  </si>
  <si>
    <t>Depot Especes COULIBALY</t>
  </si>
  <si>
    <t>SOS Abidjan AOUT 2023</t>
  </si>
  <si>
    <t>Salaires Aout 2023</t>
  </si>
  <si>
    <t>Vir EBUTRANS Douane 23-1069 TENTE</t>
  </si>
  <si>
    <t>Vir EBUTRANS Douane 23-1111 INDEX</t>
  </si>
  <si>
    <t>Agios du 31/07 au 31/08/23</t>
  </si>
  <si>
    <t>SOS Abidjan SEPT 2023</t>
  </si>
  <si>
    <t>Rem Chq 2I-CCB-ARIBAT-LASSIRE DECHETS-KUYO PIPELINE-LUBITECH</t>
  </si>
  <si>
    <t>Rem Chq AMS-CIMELEC-FRIEDLANDER-OK PLAST</t>
  </si>
  <si>
    <t>Rem Chq SOGENA-FLEPACI-CEMOI-SOFID-CARENA-INPROBOIS-MIPA-SIBM</t>
  </si>
  <si>
    <t>Rem Chq CIMAS</t>
  </si>
  <si>
    <t>Rem Chq ADAM AFRIQUE-SCESO-IRES-TERMINAL VRAQUIER-HYDROPLAST-SIDECI</t>
  </si>
  <si>
    <t>Rem Chq COCITAM-ARIBAT-CADERAC</t>
  </si>
  <si>
    <t>Rem Chq LASSIRE INDUSTRIE-CLEAN EBURNIE-BOUYGUES</t>
  </si>
  <si>
    <t xml:space="preserve">Vir INDEX Fact </t>
  </si>
  <si>
    <t>Vir BCEAO NESTLE</t>
  </si>
  <si>
    <t>Demande de Chequier</t>
  </si>
  <si>
    <t>Vir INOXMARE</t>
  </si>
  <si>
    <t>Vir YARA CI</t>
  </si>
  <si>
    <t>Chq Impaye UNIWAX</t>
  </si>
  <si>
    <t>Vir ABRASIVOS GRINDING déposer le 25/08/2023</t>
  </si>
  <si>
    <t>Chq Impaye ARIBAT</t>
  </si>
  <si>
    <t>Vir Impots TIMBRES</t>
  </si>
  <si>
    <t>Rem Chq MICI EMBACI-NUTRI FOOD IND-AMS</t>
  </si>
  <si>
    <t>Rem Chq SCCI-SKCI-AMS-SIF PLAST 2X-TRABEX-ADEMAT 2X</t>
  </si>
  <si>
    <t>5780974</t>
  </si>
  <si>
    <t>Vir PACOCI SA</t>
  </si>
  <si>
    <t>Rem Chq IVMCI-RAZEL-DREAM COSMETICS-SOGB-FRIEDLANDER-SOGENA</t>
  </si>
  <si>
    <t>Rem Chq SIVOP-EIS CI-ARIBAT-USICHROM-SOGEA SATOM</t>
  </si>
  <si>
    <r>
      <t>Rem Chq ICO SOUDURE-GROUP CAR LINES-</t>
    </r>
    <r>
      <rPr>
        <sz val="10"/>
        <color rgb="FFFF0000"/>
        <rFont val="Arial"/>
        <family val="2"/>
      </rPr>
      <t>X ET M</t>
    </r>
    <r>
      <rPr>
        <sz val="10"/>
        <rFont val="Arial"/>
        <family val="2"/>
      </rPr>
      <t>-FRIEDLANDER</t>
    </r>
  </si>
  <si>
    <t>Vir EMILE MAURIN FACT 821394 BCF230013</t>
  </si>
  <si>
    <t>Vir SOCIETE DES MINES DE LA LOBO</t>
  </si>
  <si>
    <t xml:space="preserve">Vir YARA CI DU 31/08/2023 </t>
  </si>
  <si>
    <t>Vir EIFFAGE du 13/09/23</t>
  </si>
  <si>
    <t>Rem Chq AMDS-SICMA-ECO EBURNIE-COCITAM</t>
  </si>
  <si>
    <t>Vir MOTA STANBIC BA</t>
  </si>
  <si>
    <t>Vir FRIEDLANDER</t>
  </si>
  <si>
    <t>Rem chq X ET M</t>
  </si>
  <si>
    <t>Chq Impaye X ET M REGUL</t>
  </si>
  <si>
    <t>Rem Chq EUROLAIT-AIC-SUCAF-LASSIRE INDUSTRIE-PESCHAUD-SOFID-EIPSI</t>
  </si>
  <si>
    <t>Rem Chq LASSIRE DECHETS-KPM ENTREPRISE-CADERAC-LAVISO</t>
  </si>
  <si>
    <t>Vir CAREC 23-319-E0100/0002</t>
  </si>
  <si>
    <t>Vir CMID 21316S023/000414</t>
  </si>
  <si>
    <t>Vir SIDECI 22319IO91/2728-FT146258</t>
  </si>
  <si>
    <t>Vir SOFID 23316Z031/2178</t>
  </si>
  <si>
    <t>Vir OPHIR 21011O050/0188032</t>
  </si>
  <si>
    <t>Vir HESNAULT 22306132-22307060</t>
  </si>
  <si>
    <t>Vir EBUTRANS 3190</t>
  </si>
  <si>
    <t>Vir SIDAM Provision Assurance</t>
  </si>
  <si>
    <t>Vir IMPOTS TVA patente salaires…..</t>
  </si>
  <si>
    <t>Rem Chq UNIWAX-IVOSEP-SLA-SIDECI-IRES-CEMOI</t>
  </si>
  <si>
    <t>Agios du 31/08 au 30/09/23</t>
  </si>
  <si>
    <t>Vir STE DES TELECOMMUNICATIONS AFR</t>
  </si>
  <si>
    <t xml:space="preserve">Vir EMILE Maurin </t>
  </si>
  <si>
    <t>5780975</t>
  </si>
  <si>
    <t>5781716</t>
  </si>
  <si>
    <t>Chq CARO TECH ACHAT ORDINATEUR</t>
  </si>
  <si>
    <t>Salaires Sept 2023</t>
  </si>
  <si>
    <t>SOS Abidjan OCTOBRE 2023</t>
  </si>
  <si>
    <t>Rem Chq ATOU-HOTEL TIAMA-SOUDOTEC</t>
  </si>
  <si>
    <t>Rem Chq NP GANDOUR-SUCAF-X ET M-CIMAS</t>
  </si>
  <si>
    <t>Vir Société Minière de la Lobo</t>
  </si>
  <si>
    <t>Rem Chq THELEN-EIPSI-USICHROM-SDIPM</t>
  </si>
  <si>
    <t>Rem Chq ABRI 2000-CIMAS-SAMES CI-TC AFRIQUE-CARENA</t>
  </si>
  <si>
    <t>Vir IMPOTS TVA  salaires…..</t>
  </si>
  <si>
    <t>Rem Chq ICO SOUDURE-MIB-IRES-INPROBOIS-PROLOGISTICS-CMAO</t>
  </si>
  <si>
    <t>5781717</t>
  </si>
  <si>
    <t>Vir CAREC 23-319-E0100/0002 solde</t>
  </si>
  <si>
    <t>Vir CMID 21316S023/000444-445-446-456-467</t>
  </si>
  <si>
    <t>Vir SIDECI FT146688</t>
  </si>
  <si>
    <t>Vir EBUTRANS 23319R009/000021-000080-0000104</t>
  </si>
  <si>
    <t>Vir HESNAULT 22307642-22308114</t>
  </si>
  <si>
    <t>Chq HOTEL LA TERRASSE</t>
  </si>
  <si>
    <t>5781718</t>
  </si>
  <si>
    <t>5781720</t>
  </si>
  <si>
    <t>Chq CNPS 3ième trimestre 2023</t>
  </si>
  <si>
    <t>Chq CMU  IPS CNAM</t>
  </si>
  <si>
    <t>Chq SIDMID achat disques CARGILL</t>
  </si>
  <si>
    <t>Vir EBUTRANS Douane 23-1330 MAURIN</t>
  </si>
  <si>
    <t>Rem Chq RMI-COCITAM-MIPA-CODIPALM-X ET M-CIDM-I TRANSMISSION-SICMA</t>
  </si>
  <si>
    <t>5781721</t>
  </si>
  <si>
    <t>5781722</t>
  </si>
  <si>
    <t>Chq SIDAM SA</t>
  </si>
  <si>
    <t>5781723</t>
  </si>
  <si>
    <t>5781719</t>
  </si>
  <si>
    <t>Chq Air Cote d'Ivoire</t>
  </si>
  <si>
    <t>Salaires Oct 2023</t>
  </si>
  <si>
    <t>Agios du 30/09 au 31/10/23</t>
  </si>
  <si>
    <t>SOS Abidjan NOVEMBRE 2023</t>
  </si>
  <si>
    <t>5781725</t>
  </si>
  <si>
    <t>5781724</t>
  </si>
  <si>
    <t>Rem Chq TVA-SIDECI-ADS-TRANS ROULEMENTS-PFO-NP GANDOUR-X ET M</t>
  </si>
  <si>
    <t>Chq REGLEMENT FACTURE 690866 EMILE MAURIN</t>
  </si>
  <si>
    <t xml:space="preserve">Vir NESTLE </t>
  </si>
  <si>
    <t xml:space="preserve">Rem Chq ICO SOUDURE </t>
  </si>
  <si>
    <t>Rem Chq CCB-RAZEL-DREAM COSMETICS-SOFID</t>
  </si>
  <si>
    <t>Vir EBUTRANS Douane 23-1357 CHAVES BILBAO</t>
  </si>
  <si>
    <t>Chq Facture SIDMID SOLDE</t>
  </si>
  <si>
    <t>5781726</t>
  </si>
  <si>
    <t>Rem Chq CMAO-SEA INVEST-SGTM-SOLIBRA</t>
  </si>
  <si>
    <t>Frais Remise Import Dossier 23001647</t>
  </si>
  <si>
    <t>Vir CMID 21316SO23/000520-546</t>
  </si>
  <si>
    <t>Vir SOFID 3222</t>
  </si>
  <si>
    <t>Vir EBUTRANS 135-199</t>
  </si>
  <si>
    <t>5781727</t>
  </si>
  <si>
    <t>5781728</t>
  </si>
  <si>
    <t>Rem Chq PROLINE LOGISTICS-UNIWAX 3X-X ET M</t>
  </si>
  <si>
    <t>Rem Chq SGTM</t>
  </si>
  <si>
    <t>Chq Impaye SGTM</t>
  </si>
  <si>
    <t>Vir EBUTRANS Dossier Douane I23-1446</t>
  </si>
  <si>
    <t>Rem Chq IRES-LASSIRE INDUSTRIE-AIC-DREAM COSMETICS-CEMOI-EUROLAIT2X-ADAM AFRIQUE</t>
  </si>
  <si>
    <t>Rem Chq SN INDIGO-KUYO PIPELINE-SOTACI-CMID-INEXENCE-COCITAM</t>
  </si>
  <si>
    <t>5781731</t>
  </si>
  <si>
    <t>Rem Chq USICHROM</t>
  </si>
  <si>
    <t>Rem Chq LASSIRE DECHETSSERVICE</t>
  </si>
  <si>
    <t>Rem Chq SIDECI</t>
  </si>
  <si>
    <t>Rem ARIBAT</t>
  </si>
  <si>
    <t>Rem Chq ECO-EBURNIE</t>
  </si>
  <si>
    <t>5781732</t>
  </si>
  <si>
    <t>Vir CHAVESBAO remise documentaire</t>
  </si>
  <si>
    <t>5781730</t>
  </si>
  <si>
    <t>5781729</t>
  </si>
  <si>
    <t>Vir EMILE MAURIN FACTURES 864876 ET 864877 du 06/11/23</t>
  </si>
  <si>
    <t>Chq C@RO TECH Fact 0014 E8E31W</t>
  </si>
  <si>
    <t>Chq EIEE Entreprise ProForma PR2310-0039</t>
  </si>
  <si>
    <t>Chq Impots Loyer</t>
  </si>
  <si>
    <t>Chq Impots 15% Loyer</t>
  </si>
  <si>
    <t>Vir EBUTRANS Dossier Douane I23-1507 ABRASIVOS GRINDING</t>
  </si>
  <si>
    <t>Salaires Nov 2023</t>
  </si>
  <si>
    <t>SOS Abidjan DECEMBRE 2023</t>
  </si>
  <si>
    <t>Rem Chq SIPROCHIM</t>
  </si>
  <si>
    <t xml:space="preserve">Rem Chq SIPROCHIM </t>
  </si>
  <si>
    <t>Rem Chq NUTRI FOOD INDUSTRY</t>
  </si>
  <si>
    <t xml:space="preserve">Rem Chq RMI </t>
  </si>
  <si>
    <t>Rem Chq PACOCI</t>
  </si>
  <si>
    <t>Agios du 31/10 au 30/11/23</t>
  </si>
  <si>
    <t>Vir EBUTRANS Dossier Douane I23-1596 ABRASIVOS GRINDING</t>
  </si>
  <si>
    <t>Vir TENTE FA 252387</t>
  </si>
  <si>
    <t>Vir INDEX</t>
  </si>
  <si>
    <t>Vir EBUTRANS Dossier Douane I23-1625 CHAVESBAO</t>
  </si>
  <si>
    <t>Rem Chq SAEPP</t>
  </si>
  <si>
    <t>Rem Chq SAMES</t>
  </si>
  <si>
    <t>Rem Chq INEXENCE</t>
  </si>
  <si>
    <t>Rem Chq CEMOI</t>
  </si>
  <si>
    <t>Rem Chq ICO SOUDURE</t>
  </si>
  <si>
    <t>Rem Chq CACOMIAF</t>
  </si>
  <si>
    <t>Rem Chq IVOSEP</t>
  </si>
  <si>
    <t>Rem Chq SEM ENTREPRISES</t>
  </si>
  <si>
    <t>Rem Chq CARENA</t>
  </si>
  <si>
    <t>Vir SAMID 23316Z075/0071</t>
  </si>
  <si>
    <t>Vir Ets IMP 922</t>
  </si>
  <si>
    <t>Vir EBUTRANS 378</t>
  </si>
  <si>
    <t>Vir CENTRIMEX VITF304744-ROUF305198</t>
  </si>
  <si>
    <t>Vir SOFID 3544</t>
  </si>
  <si>
    <t>Vir HESNAULT 22309323-22310015</t>
  </si>
  <si>
    <t>Vir CMID 561-560-584</t>
  </si>
  <si>
    <t>Vir Gratifications 2023</t>
  </si>
  <si>
    <t>Rem Chq NELLE MICI EMBACI</t>
  </si>
  <si>
    <t>Vir AHOULE solde Compte Nov 2023</t>
  </si>
  <si>
    <t>5781733</t>
  </si>
  <si>
    <t>Rem Chq SIVOP</t>
  </si>
  <si>
    <t>Rem chq CADERAC</t>
  </si>
  <si>
    <t>Rem chq SOTACI</t>
  </si>
  <si>
    <t xml:space="preserve">Rem chq EUROLAIT </t>
  </si>
  <si>
    <t>Rem chq SIF PLAST CI</t>
  </si>
  <si>
    <t xml:space="preserve">Chq Impot Loyer </t>
  </si>
  <si>
    <t>Vir FRIEDLANDER CI</t>
  </si>
  <si>
    <t>Vir PLANTATION EGLIN</t>
  </si>
  <si>
    <t>Rem chq LASSIRE INDUSTRIE</t>
  </si>
  <si>
    <t>Rem chq ECO-EBURNIE</t>
  </si>
  <si>
    <t>Rem chq COMPAGNIE CACAOYERE DU BANDAMA</t>
  </si>
  <si>
    <t>Rem chq INTRATEC</t>
  </si>
  <si>
    <t>Vir IMPOT NOVEMBRE 2023</t>
  </si>
  <si>
    <t>Rem chq SOFID</t>
  </si>
  <si>
    <t>Rem chq 2I</t>
  </si>
  <si>
    <t>Rem chq SLA</t>
  </si>
  <si>
    <t>Rem chq CACOMIAF</t>
  </si>
  <si>
    <t>Rem chq IRES</t>
  </si>
  <si>
    <t>Rem chq INEXENCE</t>
  </si>
  <si>
    <t>Rem chq BESIX COTE D'IVOIRE</t>
  </si>
  <si>
    <t>5781734</t>
  </si>
  <si>
    <t>Frais DI</t>
  </si>
  <si>
    <t>Ajustements 2023</t>
  </si>
  <si>
    <t>Salaires Dec 2023</t>
  </si>
  <si>
    <t>Vir EBUTRANS Dossier Douane 23-1747 MAURIN</t>
  </si>
  <si>
    <t>Agios du 30/11/23 au 31/12/23</t>
  </si>
  <si>
    <t>Rem Chq EXAT</t>
  </si>
  <si>
    <t>chq MEDI@ROCH</t>
  </si>
  <si>
    <t>Frais Remise Import Dossier 23002055</t>
  </si>
  <si>
    <t>chq Impaye</t>
  </si>
  <si>
    <t>reglement Remise Import Dossier 23002055</t>
  </si>
  <si>
    <t>SOS Abidjan JANVIER 2024</t>
  </si>
  <si>
    <t>Rem chq ARIBAT</t>
  </si>
  <si>
    <t>Rem chq SOCIETE IVOIRE DE BETON</t>
  </si>
  <si>
    <t>Rem chq ICO SOUDURE</t>
  </si>
  <si>
    <t>Rem chq FRANCETRUCK</t>
  </si>
  <si>
    <t>Rem chq RMI</t>
  </si>
  <si>
    <t>Vir SIDAM Assurance 2024</t>
  </si>
  <si>
    <t>Vir CMID 595-21316S023/0605</t>
  </si>
  <si>
    <t>Vir SIDECI FT147334-FT147453/0666-FT147534/0754-FT147540/0760</t>
  </si>
  <si>
    <t>Vir SOFID 4074-4104</t>
  </si>
  <si>
    <t>Vir CENTRIMEX VITF305101-VITF305109</t>
  </si>
  <si>
    <t>Vir EBUTRANS 23319R009/00450-495</t>
  </si>
  <si>
    <t>Vir ETS IMP 21-N077/0000856</t>
  </si>
  <si>
    <t>Vir MEDIAROCH 21316IO46/112</t>
  </si>
  <si>
    <t>Vir Impots</t>
  </si>
  <si>
    <t>Rem chq NP GANDOUR</t>
  </si>
  <si>
    <t>Rem chq RAZEL</t>
  </si>
  <si>
    <t>Rem chq SICMA</t>
  </si>
  <si>
    <t>Rem chq BOUUYGUES E</t>
  </si>
  <si>
    <t>Rem chq CEMOI CI</t>
  </si>
  <si>
    <t>5781735</t>
  </si>
  <si>
    <t>5781737</t>
  </si>
  <si>
    <t>5781736</t>
  </si>
  <si>
    <t>Vir SOCIETE DES MINES D ITY</t>
  </si>
  <si>
    <t>Rem chq EUROLAIT</t>
  </si>
  <si>
    <t>Rem chq PALMAFRIQUE</t>
  </si>
  <si>
    <t>Rem chq FTCI</t>
  </si>
  <si>
    <t>Rem chq AIC</t>
  </si>
  <si>
    <t>Rem chq LES ACIERIES DE CI</t>
  </si>
  <si>
    <t>Rem chq HYDROPLAST</t>
  </si>
  <si>
    <t>Rem chq SIPEF CI</t>
  </si>
  <si>
    <t>Rem chq ATOU</t>
  </si>
  <si>
    <t>Rem chq LOGIS CI</t>
  </si>
  <si>
    <t>Rem chq LAVISO</t>
  </si>
  <si>
    <t>Rem chq SIDECI</t>
  </si>
  <si>
    <t>Rem chq SKCI</t>
  </si>
  <si>
    <t>N</t>
  </si>
  <si>
    <t>Chq NERE Loyer Jan 2024</t>
  </si>
  <si>
    <t>Chq CIE Oct - Dec 2023</t>
  </si>
  <si>
    <t>Chq Impots Loyer Nov-Dec 2023</t>
  </si>
  <si>
    <t>Vir EBUTRANS Dossier Douane 23-1751 TENTE</t>
  </si>
  <si>
    <t>Chq Impaye</t>
  </si>
  <si>
    <t>Rem chq SOGB</t>
  </si>
  <si>
    <t>Rem chq URBANIA EDI CI</t>
  </si>
  <si>
    <t>Rem chq USICHROM</t>
  </si>
  <si>
    <t>Rem chq SOUDOTEC</t>
  </si>
  <si>
    <t>Rem chq PRO LOGISTICS</t>
  </si>
  <si>
    <t>Rem chq COCITAM</t>
  </si>
  <si>
    <t>Rem chq SUCAF CI</t>
  </si>
  <si>
    <t>Interets Debiteurs</t>
  </si>
  <si>
    <t>Salaires Jan 2024</t>
  </si>
  <si>
    <t>5781738</t>
  </si>
  <si>
    <t>Chq CNPS 4eme trimestre 2023</t>
  </si>
  <si>
    <t>Rem chq AMS</t>
  </si>
  <si>
    <t>Vir EBUTRANS Dossier Douane 24-0114 INDEX</t>
  </si>
  <si>
    <t>Vir EBUTRANS Dossier Douane 24-0162 MAURIN</t>
  </si>
  <si>
    <t>Rem chq SOLIBRA</t>
  </si>
  <si>
    <t>Rem chq SCODI</t>
  </si>
  <si>
    <t>Rem chq TRANS-ROULEMENTS</t>
  </si>
  <si>
    <t>Rem chq CARENA</t>
  </si>
  <si>
    <t>SOS Abidjan FEVRIER 2024</t>
  </si>
  <si>
    <t>Vir CMID 617-618-628-629</t>
  </si>
  <si>
    <t>Vir CENTRIMEX VITF305401-ROUF305981-ROUF306385</t>
  </si>
  <si>
    <t>Vir EBUTRANS 23319R009/00556-568-672</t>
  </si>
  <si>
    <t>Vir ETS IMP 21-319-NO77/0000827</t>
  </si>
  <si>
    <t>Rem Chq LUBITECH SARL</t>
  </si>
  <si>
    <t>Rem Chq SITBAI</t>
  </si>
  <si>
    <t>Rem Chq LAVISO</t>
  </si>
  <si>
    <t>Rem Chq RMI</t>
  </si>
  <si>
    <t>Rem Chq AVENIR INGENIERIE ET TRAVAUX</t>
  </si>
  <si>
    <t>Rem Chq ADEMAT NSIA</t>
  </si>
  <si>
    <t>Rem Chq THELEN SA</t>
  </si>
  <si>
    <t>Rem Chq LASSIRE DECHETS SERVICES</t>
  </si>
  <si>
    <t xml:space="preserve">Rem Chq LA ROUTE AFRICAINE </t>
  </si>
  <si>
    <t>Rem Chq AMS</t>
  </si>
  <si>
    <t>Rem Chq LASSIRE INDUSTRIE</t>
  </si>
  <si>
    <t>Remb Credit ??</t>
  </si>
  <si>
    <t>Rem Chq SEA INVEST LOGISTIQUE</t>
  </si>
  <si>
    <t>5781739</t>
  </si>
  <si>
    <t xml:space="preserve">Rem chq TC AFRIQUE </t>
  </si>
  <si>
    <t xml:space="preserve">Vir EMILE MAURIN </t>
  </si>
  <si>
    <t>Vir STAYER FACT 0158879</t>
  </si>
  <si>
    <t>Rem Chq SIDMATES ET SERVICES</t>
  </si>
  <si>
    <t>Rem Chq STMI SARL</t>
  </si>
  <si>
    <t>Rem Chq NEXANS</t>
  </si>
  <si>
    <t>Rem Chq COTICAM</t>
  </si>
  <si>
    <t>Rem Chq NP GANDOUR</t>
  </si>
  <si>
    <t xml:space="preserve">Rem Chq ADAM AFRIQUE </t>
  </si>
  <si>
    <t>Frais Virement Impots</t>
  </si>
  <si>
    <t>Vir PERSEUS</t>
  </si>
  <si>
    <t>Vir Impots TSE Jan 2024</t>
  </si>
  <si>
    <t>Vir Impots ITS TVA Jan 2024</t>
  </si>
  <si>
    <t>Vir Impots Jan 2024</t>
  </si>
  <si>
    <t>Vir SEMTS</t>
  </si>
  <si>
    <t>Vir IVORY CASHEW NUTS</t>
  </si>
  <si>
    <t>Rem Chq SIBM</t>
  </si>
  <si>
    <t>Frais Remise import 24000329</t>
  </si>
  <si>
    <t>Vir EBUTRANS Dossier Douane 24-0194 CHAVESBAO Fev 2024</t>
  </si>
  <si>
    <t>Rem Chq I-TRANSMISSIONS</t>
  </si>
  <si>
    <t>Rem Chq SOCIETE DE CIMENT DE COTE D'IVOIRE</t>
  </si>
  <si>
    <t>Rem Chq CEFIND</t>
  </si>
  <si>
    <t>Rem Chq SARCI</t>
  </si>
  <si>
    <t>Rem Chq 2I IVOIRE INGENIERIE</t>
  </si>
  <si>
    <t>Vir EBUTRANS Dossier Douane 24-0192 INOXMARE Fev 2024</t>
  </si>
  <si>
    <t>Rem chq EVIOSYS PACKAGING SIEM</t>
  </si>
  <si>
    <t xml:space="preserve">Rem chq BESIX </t>
  </si>
  <si>
    <t>Vir CHAVESBAO remise Documentaire</t>
  </si>
  <si>
    <t>Salaires Fev 2024</t>
  </si>
  <si>
    <t xml:space="preserve">Rem chq SAMES CI </t>
  </si>
  <si>
    <t>Rem chq SDIPM</t>
  </si>
  <si>
    <t>Agios du 31/01 au 29/02/24</t>
  </si>
  <si>
    <t>SOS Abidjan MARS 2024</t>
  </si>
  <si>
    <t>Rem chq SOGENA COTE D IVOIRE</t>
  </si>
  <si>
    <t>Rem chq SOGENA TRANSPORT CI</t>
  </si>
  <si>
    <t>Rem chq MEDLOG TRANSPORT</t>
  </si>
  <si>
    <t>Vr SOCIETE DES MINES D.ITY</t>
  </si>
  <si>
    <t>Vir COTE IVOIRE TERMINAL</t>
  </si>
  <si>
    <t>5781740</t>
  </si>
  <si>
    <t>Vir EBUTRANS Dossier Douane 24-0303 MAURIN Mars 2024</t>
  </si>
  <si>
    <t>Rem chq NEFBA</t>
  </si>
  <si>
    <t>Rem chq GIB SARL</t>
  </si>
  <si>
    <t>Rem chq EIPSI</t>
  </si>
  <si>
    <t>Chq NERE Loyer MARS 2024</t>
  </si>
  <si>
    <t>5781741</t>
  </si>
  <si>
    <t>Vir TENTE FACTURE V5260963 BCF230020</t>
  </si>
  <si>
    <t>Frais Impaye</t>
  </si>
  <si>
    <t>Chq Impaye EIPSI</t>
  </si>
  <si>
    <t>Rem chq ADAM AFRIQUE</t>
  </si>
  <si>
    <t>Rem chq CCB</t>
  </si>
  <si>
    <t>Rem chq SBC</t>
  </si>
  <si>
    <t>Rem chq CEMOI</t>
  </si>
  <si>
    <t>Chq impaye AVENIR INGENIERIE ET TRAVAUX REGLE COMPTOIR</t>
  </si>
  <si>
    <t>Frais Chq Impaye REGLE COMPTOIR</t>
  </si>
  <si>
    <t>chq FRAIS KAKAYOKO DOSSIER IMPOTS</t>
  </si>
  <si>
    <t>Erreur Rem Chq MONTANT ERRONE</t>
  </si>
  <si>
    <t>Rem Chq CORRECTION MONTANT ERRONE</t>
  </si>
  <si>
    <t>Vir CENTRIMEX 2024/000602</t>
  </si>
  <si>
    <t>Vir EBUTRANS 23319RO09/000701-000842</t>
  </si>
  <si>
    <t>Vir MEDI@ROCH 21316IO46/114</t>
  </si>
  <si>
    <t>Vir RDT 7697238</t>
  </si>
  <si>
    <t>Agios du 31/12 au 31/01/24</t>
  </si>
  <si>
    <t>Rem chq SG AGRO</t>
  </si>
  <si>
    <t>Rem chq MIB</t>
  </si>
  <si>
    <t>Frais Vir Impots</t>
  </si>
  <si>
    <t>Vir Impots TSE FEV 2024</t>
  </si>
  <si>
    <t>Vir Impots ITS TVA FEV 2024 AVANCE PATENTE 2024</t>
  </si>
  <si>
    <t>5781742</t>
  </si>
  <si>
    <t>Chq BAKAYOKO CONTRÔLE IMPOTS</t>
  </si>
  <si>
    <t>5781743</t>
  </si>
  <si>
    <t xml:space="preserve">Chq CIE </t>
  </si>
  <si>
    <t>Rem chq SIPROCHIM</t>
  </si>
  <si>
    <t>Rem chq SN INDIGO</t>
  </si>
  <si>
    <t>Rem chq INPROBOIS</t>
  </si>
  <si>
    <t>Rem chq ETAB NEWS SARL U</t>
  </si>
  <si>
    <t>Rem chq SA ATOU</t>
  </si>
  <si>
    <t xml:space="preserve">Vir EIFFAGE </t>
  </si>
  <si>
    <t>Rem chq LASSIRE INDUSTRIES</t>
  </si>
  <si>
    <t>Rem chq AFRICA TRAILER INDUSTRIE</t>
  </si>
  <si>
    <t>Salaires Mars 2024</t>
  </si>
  <si>
    <t>Rem chq SIDMATE ET SERVICES</t>
  </si>
  <si>
    <t>Chq Impaye SIDMATE ET SERVICES</t>
  </si>
  <si>
    <t>Rem chq ADEMAT</t>
  </si>
  <si>
    <t>Rem Chq ABRI 2000</t>
  </si>
  <si>
    <t>5781744</t>
  </si>
  <si>
    <t>Ext Frais</t>
  </si>
  <si>
    <t>Regul</t>
  </si>
  <si>
    <t>Agios du 29/02 au 31/03/24</t>
  </si>
  <si>
    <t>Rem chq SGNCI AFRICA</t>
  </si>
  <si>
    <t>Rem Chq EIFFAGE ENERGIE-ATR-ARIBAT-INTELEC PROTECTION-I TRANSMISSION-NORCOCI LOYER 07-08-09/2022</t>
  </si>
  <si>
    <t>Rem chq NORCOCI OCT-NOV-DEC 2022 JANV 2023</t>
  </si>
  <si>
    <t>Chq Loyer Fev 2024</t>
  </si>
  <si>
    <t>Rem Chq N ENTREPRISE</t>
  </si>
  <si>
    <t>Chq NERE Loyer AVRIL 2024</t>
  </si>
  <si>
    <t>Vir EMILE MAURIN FACT BCF230028 ET BCF240001</t>
  </si>
  <si>
    <t>Rem chq UNIWAX</t>
  </si>
  <si>
    <t>Vir ETS IMP 21-319-NO77/0000851-846</t>
  </si>
  <si>
    <t>Vir CENTRIMEX VITF400654</t>
  </si>
  <si>
    <t>Vir EBUTRANS 914-915-1021-1030</t>
  </si>
  <si>
    <t>Rem chq EXAT</t>
  </si>
  <si>
    <t>Rem chq EXPLORATION AND MINING SUPPLIERS</t>
  </si>
  <si>
    <t>Vir TERMINAL VRAQUIER</t>
  </si>
  <si>
    <t>Versements espèces</t>
  </si>
  <si>
    <t>Vir Impots TSE MARS 2024</t>
  </si>
  <si>
    <t>Vir Impots ITS TVA MARS 2024 AVANCE IMPOTS BIC 2024</t>
  </si>
  <si>
    <t>Rem chq SOFIM</t>
  </si>
  <si>
    <t>Vir INOXMARE FACT 1134 BCF230026</t>
  </si>
  <si>
    <t>Rem chq LA ROUTE AFRICAINE</t>
  </si>
  <si>
    <t>Vir EBUTRANS Dossier Douane 24-0431 ABRASIVOS GRINDING Avril 2024</t>
  </si>
  <si>
    <t>Rem Chq FTCI</t>
  </si>
  <si>
    <t>Rem Chq SCTII</t>
  </si>
  <si>
    <t>Rem Chq ECOTI SA</t>
  </si>
  <si>
    <t>Rem Chq INTELEC PROTECTION</t>
  </si>
  <si>
    <t>Rem Chq CEMOI COTE D'IVOIRE</t>
  </si>
  <si>
    <t>Rem Chq CIMELEC IVOIRE</t>
  </si>
  <si>
    <t>Rem Chq EIPSI</t>
  </si>
  <si>
    <t>5781745</t>
  </si>
  <si>
    <t>5781746</t>
  </si>
  <si>
    <t>Vir SA EGLIN</t>
  </si>
  <si>
    <t>5781747</t>
  </si>
  <si>
    <t>Chq EIEE ENTREPRISE</t>
  </si>
  <si>
    <t>5781748</t>
  </si>
  <si>
    <t>5781749</t>
  </si>
  <si>
    <t>Chq OPHIR GRAPHIC</t>
  </si>
  <si>
    <t>Vir EIPSI</t>
  </si>
  <si>
    <t>Agios du 31/03 au 30/04/24</t>
  </si>
  <si>
    <t>Salaires Avril 2024</t>
  </si>
  <si>
    <t>Vir EBUTRANS Dossier Douane 24-0449 TENTE Mai 2024</t>
  </si>
  <si>
    <t>Rem Chq HOTEL TIAMA</t>
  </si>
  <si>
    <t>Rem Chq SOLID SARL</t>
  </si>
  <si>
    <t>SOS Abidjan AVRIL 2024</t>
  </si>
  <si>
    <t>SOS Abidjan MAI 2024</t>
  </si>
  <si>
    <t>Chq impôts loyer avril 2024</t>
  </si>
  <si>
    <t>Rem Chq BIG CIM</t>
  </si>
  <si>
    <t>Rem Chq PRO LOGISTICS</t>
  </si>
  <si>
    <t>5781750</t>
  </si>
  <si>
    <t>5781751</t>
  </si>
  <si>
    <t>5781752</t>
  </si>
  <si>
    <t>Chq NZO SERVICES</t>
  </si>
  <si>
    <t xml:space="preserve">Chq LA TERRASSE </t>
  </si>
  <si>
    <t>Chq NERE Loyer MAI 2024</t>
  </si>
  <si>
    <t>Chq NZO SERVICES AVANCE BIC</t>
  </si>
  <si>
    <t>Vir SIDAM Assurance SOS 2024</t>
  </si>
  <si>
    <t>Vir CMID 23 316 SO23/00139</t>
  </si>
  <si>
    <t>Vir ETS IMP 23 319 IO91/N0016-N0021-N0038-N0040-N0039</t>
  </si>
  <si>
    <t>Vir SOFID 23316ZO31/0006615-0006830</t>
  </si>
  <si>
    <t>Vir EBUTRANS 1082</t>
  </si>
  <si>
    <t>Vir GROUPE RDT 7699286</t>
  </si>
  <si>
    <t>Vir EBUTRANS Dossier Douane 24-0455 CHAVESBAO Mai 2024</t>
  </si>
  <si>
    <t xml:space="preserve">Vir PERSEUS MINING YAOURE </t>
  </si>
  <si>
    <t xml:space="preserve">Rem Chq LASSIRE DECHETS SERVICES </t>
  </si>
  <si>
    <t>Rem Chq SRWCI</t>
  </si>
  <si>
    <t>Rem Chq DREAM COSMETICS</t>
  </si>
  <si>
    <t>5781753</t>
  </si>
  <si>
    <t>5781754</t>
  </si>
  <si>
    <t>5781755</t>
  </si>
  <si>
    <t>Chq enregistrement bail aux impôts</t>
  </si>
  <si>
    <t>Chq CNPS 1 ER TRIMESTRE 2024</t>
  </si>
  <si>
    <t>Vir Impots TSE AVRIL 2024</t>
  </si>
  <si>
    <t xml:space="preserve">Vir Impots ITS TVA AVRIL 2024 </t>
  </si>
  <si>
    <t>Rem Chq ECO EBURNIE</t>
  </si>
  <si>
    <t>Rem Chq TRANS ROULEMENT CI</t>
  </si>
  <si>
    <t>Rem Chq MEDLOG COTE D IVOIRE</t>
  </si>
  <si>
    <t>Rem Chq CODIPALM</t>
  </si>
  <si>
    <t>Rem Chq PROTECT ALU</t>
  </si>
  <si>
    <t>Vir BESSAC AFRIQUE</t>
  </si>
  <si>
    <t>Chq NERE Loyer MAI 2024 Annule</t>
  </si>
  <si>
    <t>Frais Opposition Chq 5781752</t>
  </si>
  <si>
    <t>5781756</t>
  </si>
  <si>
    <t>Rem Chq SOTICI</t>
  </si>
  <si>
    <t>Rem Chq MONDI ABIDJAN</t>
  </si>
  <si>
    <t>5781757</t>
  </si>
  <si>
    <t>Frais Ouverture Dossier</t>
  </si>
  <si>
    <t>Vir EBUTRANS Dossier Douane 24-0487 MAURIN Mai 2024</t>
  </si>
  <si>
    <t>Rem Chq COCITAM</t>
  </si>
  <si>
    <t>Vir INDEX BCF240012</t>
  </si>
  <si>
    <t>Rem Chq EUROLAIT</t>
  </si>
  <si>
    <t>Rem Chq SCODI</t>
  </si>
  <si>
    <t>Rem Chq FST</t>
  </si>
  <si>
    <t>WX</t>
  </si>
  <si>
    <t>Rem</t>
  </si>
  <si>
    <t>Salaires Mai 2024</t>
  </si>
  <si>
    <t>5781759</t>
  </si>
  <si>
    <t>5781758</t>
  </si>
  <si>
    <t>Frais/Vir INDEX</t>
  </si>
  <si>
    <t>Agios du 30/04 au 31/05/24</t>
  </si>
  <si>
    <t>Chq impôts loyer MAI 2024</t>
  </si>
  <si>
    <t>SOS Abidjan JUIN 2024</t>
  </si>
  <si>
    <t xml:space="preserve">Vir BCEAO NESTLE </t>
  </si>
  <si>
    <t>Rem ADAM AFRIQUE</t>
  </si>
  <si>
    <t>Rem FTCI</t>
  </si>
  <si>
    <t>Rem LASSIRE INDUSTRIE</t>
  </si>
  <si>
    <t>Rem ADEMAT CI</t>
  </si>
  <si>
    <t xml:space="preserve">Rem SOFID </t>
  </si>
  <si>
    <t>Rem AIC</t>
  </si>
  <si>
    <t>Rem GANDOUR</t>
  </si>
  <si>
    <t>Rem IRES</t>
  </si>
  <si>
    <t>Rem SDTM C I</t>
  </si>
  <si>
    <t>Rem ECO-EBURNIE</t>
  </si>
  <si>
    <t>Vir CMID</t>
  </si>
  <si>
    <t>Vir ETS IMP</t>
  </si>
  <si>
    <t xml:space="preserve">Vir </t>
  </si>
  <si>
    <t xml:space="preserve">Vir SIDAM SA </t>
  </si>
  <si>
    <t>Vir GROUPE RDT</t>
  </si>
  <si>
    <t>Vir stayer</t>
  </si>
  <si>
    <t xml:space="preserve"> </t>
  </si>
  <si>
    <t>5781761</t>
  </si>
  <si>
    <t>5781762</t>
  </si>
  <si>
    <t>5781763</t>
  </si>
  <si>
    <t>LA TERRASSE</t>
  </si>
  <si>
    <t>Vir SAEFI SARL</t>
  </si>
  <si>
    <t>Vir SACO</t>
  </si>
  <si>
    <t>Frais Vir stayer</t>
  </si>
  <si>
    <t>5781760</t>
  </si>
  <si>
    <t>REM SIBM</t>
  </si>
  <si>
    <t xml:space="preserve">REM EZAN SERVICES </t>
  </si>
  <si>
    <t>REM SITARAIL</t>
  </si>
  <si>
    <t>REM CEMOI CI</t>
  </si>
  <si>
    <t>REM SDIPM</t>
  </si>
  <si>
    <t>REM ARIBAT SARL</t>
  </si>
  <si>
    <t>SOLDE DE TOUT COMPTE MOCKE JUDICAEL</t>
  </si>
  <si>
    <t xml:space="preserve">SOLDE DE TOUT COMPTE BAMBA JILUS </t>
  </si>
  <si>
    <t xml:space="preserve">IMPOT </t>
  </si>
  <si>
    <t>REM SRWCI</t>
  </si>
  <si>
    <t>REM SKCI</t>
  </si>
  <si>
    <t xml:space="preserve">REM IMPROBOIS </t>
  </si>
  <si>
    <t xml:space="preserve">REM ICO  SOUDURE </t>
  </si>
  <si>
    <t>Vir RAZEL BEC</t>
  </si>
  <si>
    <t>5781764</t>
  </si>
  <si>
    <t xml:space="preserve">Vir ABEILLE CARRIERE </t>
  </si>
  <si>
    <t xml:space="preserve">Vir FRIEDLANDER CI </t>
  </si>
  <si>
    <t>CHAVESBAO</t>
  </si>
  <si>
    <t>EMILE MAURIN</t>
  </si>
  <si>
    <t xml:space="preserve">Verssement DENIS LANGLOIS </t>
  </si>
  <si>
    <t xml:space="preserve">BILLET D'avion DENIS LANGLOIS </t>
  </si>
  <si>
    <t>5781765</t>
  </si>
  <si>
    <t>5781766</t>
  </si>
  <si>
    <t>REM</t>
  </si>
  <si>
    <t>Vir BCEAO  NESTLE</t>
  </si>
  <si>
    <t xml:space="preserve">Vir EBUTRANS </t>
  </si>
  <si>
    <t>CHQ IMP 7217635 SANS PROVISION</t>
  </si>
  <si>
    <t>FRAIS CHQ IMP 7217635 SANS PROVISION</t>
  </si>
  <si>
    <t>FRAIS/OUV REMISE IMPORT</t>
  </si>
  <si>
    <t xml:space="preserve">VERSEMENT PERIODIQUE SOS </t>
  </si>
  <si>
    <t>AGIOS DU  31/05/24 AU 30/06/24 SOS</t>
  </si>
  <si>
    <t>Rem UNITED OIL COMPAGNY</t>
  </si>
  <si>
    <t>Rem FRANZETTI</t>
  </si>
  <si>
    <t>Rem LASSIRE DECHETS SERVICES</t>
  </si>
  <si>
    <t>Rem SCCI</t>
  </si>
  <si>
    <t>Rem COCITAM</t>
  </si>
  <si>
    <t>Rem HYDROPLAST</t>
  </si>
  <si>
    <t>Rem SOTICI</t>
  </si>
  <si>
    <t>Rem SEM ENTREPRISES</t>
  </si>
  <si>
    <t>Rem CEMOI CI</t>
  </si>
  <si>
    <t>Rem DREAM COSMETICS</t>
  </si>
  <si>
    <t>Rem MIB</t>
  </si>
  <si>
    <t>Rem NEXANS</t>
  </si>
  <si>
    <t>Rem IVOSEP</t>
  </si>
  <si>
    <t>Rem SIPRO CHIM</t>
  </si>
  <si>
    <t>REM S C A</t>
  </si>
  <si>
    <t>REM INTRATEC</t>
  </si>
  <si>
    <t>REM NANO</t>
  </si>
  <si>
    <t>REM ITRANSMISSIONS</t>
  </si>
  <si>
    <t>REM EUROLAIT</t>
  </si>
  <si>
    <t>Vir PERSEUS MINING YA</t>
  </si>
  <si>
    <t>SOS Abidjan JUILLET 2024</t>
  </si>
  <si>
    <t>Salaires Juin 2024</t>
  </si>
  <si>
    <t>Rem Associé Juin 2024</t>
  </si>
  <si>
    <t xml:space="preserve">REM </t>
  </si>
  <si>
    <t>REM SIPRO CHIM</t>
  </si>
  <si>
    <t>REM CADERAC</t>
  </si>
  <si>
    <t>REM UNIWAX</t>
  </si>
  <si>
    <t>REM SAN PEDRO MANUTENTION</t>
  </si>
  <si>
    <t>REM COMPAGNIE CACAOYERE DU BANDAMA</t>
  </si>
  <si>
    <t>REM HOTEL TIAMA</t>
  </si>
  <si>
    <t>REM SOTACI</t>
  </si>
  <si>
    <t>REM TERMINAL VRAQUIER ABIDJAN</t>
  </si>
  <si>
    <t>REM LUBITECH SARL</t>
  </si>
  <si>
    <t>REM SOGB</t>
  </si>
  <si>
    <t>REM IRES</t>
  </si>
  <si>
    <t>Frais Rem Associé Juin 2024</t>
  </si>
  <si>
    <t>Frais Salaires Juin 2024</t>
  </si>
  <si>
    <t>5781767</t>
  </si>
  <si>
    <t>LOYER JUILLET 2024</t>
  </si>
  <si>
    <t xml:space="preserve">Vir EBUTRANS droit de douane </t>
  </si>
  <si>
    <t>Reglement fournisseur du  mois de juillet 2024</t>
  </si>
  <si>
    <t xml:space="preserve">REM EXAT </t>
  </si>
  <si>
    <t>REM DMI</t>
  </si>
  <si>
    <t xml:space="preserve">REM DREAM COSMETICS </t>
  </si>
  <si>
    <t xml:space="preserve">LASSIRE DECHETS </t>
  </si>
  <si>
    <t>Vir EIFFAGE CI</t>
  </si>
  <si>
    <t>5781768</t>
  </si>
  <si>
    <t>5781769</t>
  </si>
  <si>
    <t>Chq impôts loyer JUIN 2024</t>
  </si>
  <si>
    <t>5781770</t>
  </si>
  <si>
    <t>CIE 06/2024</t>
  </si>
  <si>
    <t xml:space="preserve">IMPOT REDRESSEMENT </t>
  </si>
  <si>
    <t>5781771</t>
  </si>
  <si>
    <t>5781772</t>
  </si>
  <si>
    <t>REMB M LANGLOIS DENIS</t>
  </si>
  <si>
    <t xml:space="preserve">Vir SAPH </t>
  </si>
  <si>
    <t xml:space="preserve">Vir RNANO </t>
  </si>
  <si>
    <t xml:space="preserve">Vir societes des palaces </t>
  </si>
  <si>
    <t>Frais/modif REM IMP SOS BOUL</t>
  </si>
  <si>
    <t>Vir INOXMARE FACT N°9959  BCF240007</t>
  </si>
  <si>
    <t>IMPOT REDRESSEMENT annule</t>
  </si>
  <si>
    <t>REM IMECA</t>
  </si>
  <si>
    <t>REM RMI</t>
  </si>
  <si>
    <t>REM USICHROM</t>
  </si>
  <si>
    <t>REM ARC CARLINGUE</t>
  </si>
  <si>
    <t>Vir ROXGOLDSANGOSA</t>
  </si>
  <si>
    <t>5781773</t>
  </si>
  <si>
    <t xml:space="preserve">cnps 2 e trim </t>
  </si>
  <si>
    <t>IMPOT</t>
  </si>
  <si>
    <t>FRAIS SUR IMPOT</t>
  </si>
  <si>
    <t>REM ARIBAT CHQ BNI</t>
  </si>
  <si>
    <t xml:space="preserve">Vir STE DE CULTURE BANANIERE </t>
  </si>
  <si>
    <t>Vir RREMITTANC INFO</t>
  </si>
  <si>
    <t xml:space="preserve">Rem </t>
  </si>
  <si>
    <t>Vir FILTISAC</t>
  </si>
  <si>
    <t>Vir STE MINE LOBO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</si>
</sst>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\ &quot;F&quot;;[Red]\-#,##0\ &quot;F&quot;"/>
    <numFmt numFmtId="165" formatCode="#,##0\ &quot;F&quot;"/>
    <numFmt numFmtId="166" formatCode="dd/mm/yy"/>
    <numFmt numFmtId="167" formatCode="_-* #,##0.00\ [$€-1]_-;\-* #,##0.00\ [$€-1]_-;_-* &quot;-&quot;??\ [$€-1]_-"/>
  </numFmts>
  <fonts count="9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sz val="10"/>
      <color rgb="FFFF0000"/>
      <name val="Arial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167" fontId="2" fillId="0" borderId="0" applyFont="0" applyFill="0" applyBorder="0" applyAlignment="0" applyProtection="0"/>
    <xf numFmtId="0" fontId="1" fillId="0" borderId="0"/>
  </cellStyleXfs>
  <cellXfs count="53">
    <xf numFmtId="0" fontId="0" fillId="0" borderId="0" xfId="0"/>
    <xf numFmtId="49" fontId="0" fillId="0" borderId="0" xfId="0" applyNumberFormat="1" applyAlignment="1">
      <alignment horizontal="center"/>
    </xf>
    <xf numFmtId="49" fontId="0" fillId="0" borderId="0" xfId="0" applyNumberFormat="1"/>
    <xf numFmtId="165" fontId="0" fillId="0" borderId="0" xfId="0" applyNumberFormat="1"/>
    <xf numFmtId="164" fontId="0" fillId="0" borderId="0" xfId="0" applyNumberFormat="1"/>
    <xf numFmtId="49" fontId="3" fillId="0" borderId="0" xfId="0" applyNumberFormat="1" applyFont="1" applyAlignment="1">
      <alignment horizontal="center"/>
    </xf>
    <xf numFmtId="165" fontId="3" fillId="0" borderId="0" xfId="0" applyNumberFormat="1" applyFont="1"/>
    <xf numFmtId="165" fontId="3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center"/>
    </xf>
    <xf numFmtId="164" fontId="5" fillId="0" borderId="0" xfId="0" applyNumberFormat="1" applyFont="1"/>
    <xf numFmtId="166" fontId="4" fillId="0" borderId="0" xfId="0" applyNumberFormat="1" applyFont="1"/>
    <xf numFmtId="166" fontId="3" fillId="0" borderId="0" xfId="0" applyNumberFormat="1" applyFont="1" applyAlignment="1">
      <alignment horizontal="center"/>
    </xf>
    <xf numFmtId="166" fontId="0" fillId="0" borderId="0" xfId="0" applyNumberFormat="1"/>
    <xf numFmtId="166" fontId="0" fillId="2" borderId="0" xfId="0" applyNumberFormat="1" applyFill="1"/>
    <xf numFmtId="49" fontId="0" fillId="2" borderId="0" xfId="0" applyNumberFormat="1" applyFill="1" applyAlignment="1">
      <alignment horizontal="center"/>
    </xf>
    <xf numFmtId="49" fontId="0" fillId="2" borderId="0" xfId="0" applyNumberFormat="1" applyFill="1"/>
    <xf numFmtId="165" fontId="0" fillId="2" borderId="0" xfId="0" applyNumberFormat="1" applyFill="1"/>
    <xf numFmtId="166" fontId="2" fillId="0" borderId="0" xfId="0" applyNumberFormat="1" applyFont="1" applyAlignment="1">
      <alignment horizontal="right"/>
    </xf>
    <xf numFmtId="49" fontId="2" fillId="0" borderId="0" xfId="0" applyNumberFormat="1" applyFont="1"/>
    <xf numFmtId="49" fontId="2" fillId="2" borderId="0" xfId="0" applyNumberFormat="1" applyFont="1" applyFill="1"/>
    <xf numFmtId="166" fontId="0" fillId="3" borderId="0" xfId="0" applyNumberFormat="1" applyFill="1"/>
    <xf numFmtId="49" fontId="0" fillId="3" borderId="0" xfId="0" applyNumberFormat="1" applyFill="1" applyAlignment="1">
      <alignment horizontal="center"/>
    </xf>
    <xf numFmtId="49" fontId="0" fillId="3" borderId="0" xfId="0" applyNumberFormat="1" applyFill="1"/>
    <xf numFmtId="165" fontId="0" fillId="3" borderId="0" xfId="0" applyNumberFormat="1" applyFill="1"/>
    <xf numFmtId="164" fontId="6" fillId="0" borderId="0" xfId="0" applyNumberFormat="1" applyFont="1"/>
    <xf numFmtId="49" fontId="2" fillId="0" borderId="0" xfId="0" applyNumberFormat="1" applyFont="1" applyAlignment="1">
      <alignment horizontal="center"/>
    </xf>
    <xf numFmtId="164" fontId="5" fillId="3" borderId="0" xfId="0" applyNumberFormat="1" applyFont="1" applyFill="1"/>
    <xf numFmtId="165" fontId="3" fillId="3" borderId="0" xfId="0" applyNumberFormat="1" applyFont="1" applyFill="1"/>
    <xf numFmtId="0" fontId="0" fillId="3" borderId="0" xfId="0" applyFill="1"/>
    <xf numFmtId="164" fontId="2" fillId="0" borderId="0" xfId="0" applyNumberFormat="1" applyFont="1"/>
    <xf numFmtId="164" fontId="3" fillId="0" borderId="0" xfId="0" applyNumberFormat="1" applyFont="1"/>
    <xf numFmtId="49" fontId="2" fillId="3" borderId="0" xfId="0" applyNumberFormat="1" applyFont="1" applyFill="1"/>
    <xf numFmtId="49" fontId="2" fillId="3" borderId="0" xfId="0" applyNumberFormat="1" applyFont="1" applyFill="1" applyAlignment="1">
      <alignment horizontal="center"/>
    </xf>
    <xf numFmtId="0" fontId="3" fillId="0" borderId="0" xfId="0" applyFont="1" applyAlignment="1">
      <alignment horizontal="center"/>
    </xf>
    <xf numFmtId="49" fontId="0" fillId="0" borderId="0" xfId="0" applyNumberFormat="1" applyFill="1"/>
    <xf numFmtId="49" fontId="0" fillId="0" borderId="0" xfId="0" applyNumberFormat="1" applyFill="1" applyAlignment="1">
      <alignment horizontal="center"/>
    </xf>
    <xf numFmtId="165" fontId="0" fillId="0" borderId="0" xfId="0" applyNumberFormat="1" applyFill="1"/>
    <xf numFmtId="166" fontId="0" fillId="0" borderId="0" xfId="0" applyNumberFormat="1" applyFill="1"/>
    <xf numFmtId="165" fontId="0" fillId="0" borderId="0" xfId="0" applyNumberFormat="1" applyFill="1" applyAlignment="1">
      <alignment wrapText="1"/>
    </xf>
    <xf numFmtId="49" fontId="0" fillId="0" borderId="0" xfId="0" applyNumberFormat="1" applyBorder="1"/>
    <xf numFmtId="166" fontId="0" fillId="3" borderId="0" xfId="0" applyNumberFormat="1" applyFill="1" applyBorder="1" applyAlignment="1">
      <alignment wrapText="1"/>
    </xf>
    <xf numFmtId="49" fontId="0" fillId="0" borderId="0" xfId="0" applyNumberFormat="1" applyFill="1" applyBorder="1" applyAlignment="1">
      <alignment horizontal="center" wrapText="1"/>
    </xf>
    <xf numFmtId="49" fontId="2" fillId="0" borderId="0" xfId="0" applyNumberFormat="1" applyFont="1" applyFill="1" applyBorder="1" applyAlignment="1">
      <alignment wrapText="1"/>
    </xf>
    <xf numFmtId="165" fontId="0" fillId="0" borderId="0" xfId="0" applyNumberFormat="1" applyFill="1" applyBorder="1" applyAlignment="1">
      <alignment wrapText="1"/>
    </xf>
    <xf numFmtId="49" fontId="2" fillId="0" borderId="0" xfId="0" applyNumberFormat="1" applyFont="1" applyFill="1"/>
    <xf numFmtId="49" fontId="2" fillId="0" borderId="0" xfId="0" applyNumberFormat="1" applyFont="1" applyFill="1" applyAlignment="1">
      <alignment horizontal="center"/>
    </xf>
    <xf numFmtId="164" fontId="0" fillId="3" borderId="0" xfId="0" applyNumberFormat="1" applyFill="1"/>
    <xf numFmtId="0" fontId="0" fillId="0" borderId="0" xfId="0" applyBorder="1"/>
    <xf numFmtId="49" fontId="8" fillId="0" borderId="0" xfId="0" applyNumberFormat="1" applyFont="1" applyBorder="1"/>
    <xf numFmtId="0" fontId="2" fillId="0" borderId="0" xfId="0" applyFont="1" applyBorder="1"/>
    <xf numFmtId="165" fontId="3" fillId="0" borderId="0" xfId="0" applyNumberFormat="1" applyFont="1" applyFill="1" applyAlignment="1">
      <alignment horizontal="center"/>
    </xf>
    <xf numFmtId="49" fontId="2" fillId="2" borderId="0" xfId="0" applyNumberFormat="1" applyFont="1" applyFill="1" applyAlignment="1">
      <alignment horizontal="center"/>
    </xf>
    <xf numFmtId="49" fontId="8" fillId="0" borderId="0" xfId="2" applyNumberFormat="1" applyFont="1" applyBorder="1"/>
  </cellXfs>
  <cellStyles count="3">
    <cellStyle name="Euro" xfId="1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23"/>
  <sheetViews>
    <sheetView showZeros="0" tabSelected="1" zoomScaleNormal="100" workbookViewId="0">
      <pane ySplit="3" topLeftCell="A2505" activePane="bottomLeft" state="frozenSplit"/>
      <selection pane="bottomLeft" activeCell="M2582" sqref="M2582"/>
    </sheetView>
  </sheetViews>
  <sheetFormatPr baseColWidth="10" defaultColWidth="11.42578125" defaultRowHeight="12.75" x14ac:dyDescent="0.2"/>
  <cols>
    <col min="1" max="1" width="9" style="12" customWidth="1"/>
    <col min="2" max="2" width="9.42578125" style="1" customWidth="1"/>
    <col min="3" max="3" width="55.85546875" style="2" customWidth="1"/>
    <col min="4" max="4" width="3.7109375" style="1" customWidth="1"/>
    <col min="5" max="5" width="12.5703125" style="3" customWidth="1"/>
    <col min="6" max="6" width="12.28515625" style="3" customWidth="1"/>
    <col min="7" max="7" width="12.85546875" style="4" customWidth="1"/>
    <col min="8" max="8" width="11.140625" style="6" hidden="1" customWidth="1"/>
    <col min="9" max="9" width="13" style="9" bestFit="1" customWidth="1"/>
    <col min="10" max="10" width="14" customWidth="1"/>
  </cols>
  <sheetData>
    <row r="1" spans="1:7" ht="15.75" x14ac:dyDescent="0.25">
      <c r="A1" s="10" t="s">
        <v>11</v>
      </c>
    </row>
    <row r="2" spans="1:7" ht="15.75" x14ac:dyDescent="0.25">
      <c r="A2" s="10"/>
    </row>
    <row r="3" spans="1:7" x14ac:dyDescent="0.2">
      <c r="A3" s="11" t="s">
        <v>2</v>
      </c>
      <c r="B3" s="5" t="s">
        <v>1</v>
      </c>
      <c r="C3" s="5" t="s">
        <v>3</v>
      </c>
      <c r="D3" s="5"/>
      <c r="E3" s="7" t="s">
        <v>4</v>
      </c>
      <c r="F3" s="7" t="s">
        <v>6</v>
      </c>
      <c r="G3" s="8" t="s">
        <v>5</v>
      </c>
    </row>
    <row r="4" spans="1:7" x14ac:dyDescent="0.2">
      <c r="A4" s="12">
        <v>44197</v>
      </c>
      <c r="C4" s="2" t="s">
        <v>0</v>
      </c>
      <c r="D4" s="1" t="s">
        <v>9</v>
      </c>
      <c r="G4" s="4">
        <v>-12971756</v>
      </c>
    </row>
    <row r="5" spans="1:7" x14ac:dyDescent="0.2">
      <c r="A5" s="12">
        <v>44200</v>
      </c>
      <c r="C5" s="2" t="s">
        <v>10</v>
      </c>
      <c r="D5" s="1" t="s">
        <v>9</v>
      </c>
      <c r="E5" s="3">
        <v>443768</v>
      </c>
      <c r="G5" s="9">
        <f t="shared" ref="G5:G22" si="0">G4+E5-F5</f>
        <v>-12527988</v>
      </c>
    </row>
    <row r="6" spans="1:7" x14ac:dyDescent="0.2">
      <c r="A6" s="12">
        <v>44200</v>
      </c>
      <c r="B6" s="1" t="s">
        <v>12</v>
      </c>
      <c r="C6" s="2" t="s">
        <v>81</v>
      </c>
      <c r="D6" s="1" t="s">
        <v>9</v>
      </c>
      <c r="F6" s="3">
        <v>879804</v>
      </c>
      <c r="G6" s="9">
        <f t="shared" si="0"/>
        <v>-13407792</v>
      </c>
    </row>
    <row r="7" spans="1:7" x14ac:dyDescent="0.2">
      <c r="A7" s="12">
        <v>44200</v>
      </c>
      <c r="C7" s="2" t="s">
        <v>13</v>
      </c>
      <c r="D7" s="1" t="s">
        <v>9</v>
      </c>
      <c r="F7" s="3">
        <f>1967871+77284</f>
        <v>2045155</v>
      </c>
      <c r="G7" s="9">
        <f t="shared" si="0"/>
        <v>-15452947</v>
      </c>
    </row>
    <row r="8" spans="1:7" x14ac:dyDescent="0.2">
      <c r="A8" s="12">
        <v>44203</v>
      </c>
      <c r="C8" s="2" t="s">
        <v>10</v>
      </c>
      <c r="D8" s="1" t="s">
        <v>9</v>
      </c>
      <c r="E8" s="3">
        <v>1491795</v>
      </c>
      <c r="G8" s="9">
        <f t="shared" si="0"/>
        <v>-13961152</v>
      </c>
    </row>
    <row r="9" spans="1:7" x14ac:dyDescent="0.2">
      <c r="A9" s="12">
        <v>44203</v>
      </c>
      <c r="C9" s="2" t="s">
        <v>7</v>
      </c>
      <c r="D9" s="1" t="s">
        <v>9</v>
      </c>
      <c r="F9" s="3">
        <f>2000+200</f>
        <v>2200</v>
      </c>
      <c r="G9" s="9">
        <f t="shared" si="0"/>
        <v>-13963352</v>
      </c>
    </row>
    <row r="10" spans="1:7" x14ac:dyDescent="0.2">
      <c r="A10" s="12">
        <v>44204</v>
      </c>
      <c r="B10" s="1" t="s">
        <v>14</v>
      </c>
      <c r="C10" s="2" t="s">
        <v>8</v>
      </c>
      <c r="D10" s="1" t="s">
        <v>9</v>
      </c>
      <c r="F10" s="3">
        <v>400000</v>
      </c>
      <c r="G10" s="9">
        <f t="shared" si="0"/>
        <v>-14363352</v>
      </c>
    </row>
    <row r="11" spans="1:7" x14ac:dyDescent="0.2">
      <c r="A11" s="12">
        <v>44208</v>
      </c>
      <c r="C11" s="2" t="s">
        <v>15</v>
      </c>
      <c r="D11" s="1" t="s">
        <v>9</v>
      </c>
      <c r="E11" s="3">
        <v>2862330</v>
      </c>
      <c r="G11" s="9">
        <f t="shared" si="0"/>
        <v>-11501022</v>
      </c>
    </row>
    <row r="12" spans="1:7" x14ac:dyDescent="0.2">
      <c r="A12" s="12">
        <v>44209</v>
      </c>
      <c r="C12" s="2" t="s">
        <v>16</v>
      </c>
      <c r="D12" s="1" t="s">
        <v>9</v>
      </c>
      <c r="E12" s="3">
        <v>342761</v>
      </c>
      <c r="G12" s="9">
        <f t="shared" si="0"/>
        <v>-11158261</v>
      </c>
    </row>
    <row r="13" spans="1:7" x14ac:dyDescent="0.2">
      <c r="A13" s="12">
        <v>44211</v>
      </c>
      <c r="B13" s="1" t="s">
        <v>17</v>
      </c>
      <c r="C13" s="2" t="s">
        <v>22</v>
      </c>
      <c r="D13" s="1" t="s">
        <v>9</v>
      </c>
      <c r="F13" s="3">
        <v>444000</v>
      </c>
      <c r="G13" s="9">
        <f t="shared" si="0"/>
        <v>-11602261</v>
      </c>
    </row>
    <row r="14" spans="1:7" x14ac:dyDescent="0.2">
      <c r="A14" s="12">
        <v>44212</v>
      </c>
      <c r="C14" s="2" t="s">
        <v>18</v>
      </c>
      <c r="D14" s="1" t="s">
        <v>9</v>
      </c>
      <c r="E14" s="3">
        <v>7021</v>
      </c>
      <c r="G14" s="9">
        <f t="shared" si="0"/>
        <v>-11595240</v>
      </c>
    </row>
    <row r="15" spans="1:7" x14ac:dyDescent="0.2">
      <c r="A15" s="12">
        <v>44215</v>
      </c>
      <c r="C15" s="2" t="s">
        <v>19</v>
      </c>
      <c r="D15" s="1" t="s">
        <v>9</v>
      </c>
      <c r="F15" s="3">
        <v>10805</v>
      </c>
      <c r="G15" s="9">
        <f t="shared" si="0"/>
        <v>-11606045</v>
      </c>
    </row>
    <row r="16" spans="1:7" x14ac:dyDescent="0.2">
      <c r="A16" s="12">
        <v>44215</v>
      </c>
      <c r="C16" s="2" t="s">
        <v>19</v>
      </c>
      <c r="D16" s="1" t="s">
        <v>9</v>
      </c>
      <c r="F16" s="3">
        <v>761131</v>
      </c>
      <c r="G16" s="9">
        <f t="shared" si="0"/>
        <v>-12367176</v>
      </c>
    </row>
    <row r="17" spans="1:7" x14ac:dyDescent="0.2">
      <c r="A17" s="12">
        <v>44215</v>
      </c>
      <c r="C17" s="2" t="s">
        <v>20</v>
      </c>
      <c r="D17" s="1" t="s">
        <v>9</v>
      </c>
      <c r="F17" s="3">
        <v>3300</v>
      </c>
      <c r="G17" s="9">
        <f t="shared" si="0"/>
        <v>-12370476</v>
      </c>
    </row>
    <row r="18" spans="1:7" x14ac:dyDescent="0.2">
      <c r="A18" s="12">
        <v>44215</v>
      </c>
      <c r="C18" s="2" t="s">
        <v>20</v>
      </c>
      <c r="D18" s="1" t="s">
        <v>9</v>
      </c>
      <c r="F18" s="3">
        <v>3300</v>
      </c>
      <c r="G18" s="9">
        <f t="shared" si="0"/>
        <v>-12373776</v>
      </c>
    </row>
    <row r="19" spans="1:7" x14ac:dyDescent="0.2">
      <c r="A19" s="12">
        <v>44216</v>
      </c>
      <c r="C19" s="2" t="s">
        <v>21</v>
      </c>
      <c r="D19" s="1" t="s">
        <v>9</v>
      </c>
      <c r="E19" s="3">
        <v>2165785</v>
      </c>
      <c r="G19" s="9">
        <f t="shared" si="0"/>
        <v>-10207991</v>
      </c>
    </row>
    <row r="20" spans="1:7" x14ac:dyDescent="0.2">
      <c r="A20" s="12">
        <v>44216</v>
      </c>
      <c r="C20" s="2" t="s">
        <v>10</v>
      </c>
      <c r="D20" s="1" t="s">
        <v>9</v>
      </c>
      <c r="E20" s="3">
        <v>437041</v>
      </c>
      <c r="G20" s="9">
        <f t="shared" si="0"/>
        <v>-9770950</v>
      </c>
    </row>
    <row r="21" spans="1:7" x14ac:dyDescent="0.2">
      <c r="A21" s="12">
        <v>44216</v>
      </c>
      <c r="B21" s="1" t="s">
        <v>23</v>
      </c>
      <c r="C21" s="2" t="s">
        <v>22</v>
      </c>
      <c r="D21" s="1" t="s">
        <v>9</v>
      </c>
      <c r="F21" s="3">
        <v>1231848</v>
      </c>
      <c r="G21" s="9">
        <f t="shared" si="0"/>
        <v>-11002798</v>
      </c>
    </row>
    <row r="22" spans="1:7" x14ac:dyDescent="0.2">
      <c r="A22" s="12">
        <v>44217</v>
      </c>
      <c r="B22" s="1" t="s">
        <v>24</v>
      </c>
      <c r="C22" s="2" t="s">
        <v>25</v>
      </c>
      <c r="D22" s="1" t="s">
        <v>9</v>
      </c>
      <c r="F22" s="3">
        <v>1100000</v>
      </c>
      <c r="G22" s="9">
        <f t="shared" si="0"/>
        <v>-12102798</v>
      </c>
    </row>
    <row r="23" spans="1:7" x14ac:dyDescent="0.2">
      <c r="A23" s="12">
        <v>44218</v>
      </c>
      <c r="C23" s="2" t="s">
        <v>10</v>
      </c>
      <c r="D23" s="1" t="s">
        <v>9</v>
      </c>
      <c r="E23" s="3">
        <v>175584</v>
      </c>
      <c r="G23" s="9">
        <f t="shared" ref="G23:G88" si="1">G22+E23-F23</f>
        <v>-11927214</v>
      </c>
    </row>
    <row r="24" spans="1:7" x14ac:dyDescent="0.2">
      <c r="A24" s="12">
        <v>44218</v>
      </c>
      <c r="C24" s="2" t="s">
        <v>10</v>
      </c>
      <c r="D24" s="1" t="s">
        <v>9</v>
      </c>
      <c r="E24" s="3">
        <v>1892118</v>
      </c>
      <c r="G24" s="9">
        <f t="shared" si="1"/>
        <v>-10035096</v>
      </c>
    </row>
    <row r="25" spans="1:7" x14ac:dyDescent="0.2">
      <c r="A25" s="12">
        <v>44218</v>
      </c>
      <c r="C25" s="2" t="s">
        <v>26</v>
      </c>
      <c r="D25" s="1" t="s">
        <v>9</v>
      </c>
      <c r="F25" s="3">
        <v>10000</v>
      </c>
      <c r="G25" s="9">
        <f t="shared" si="1"/>
        <v>-10045096</v>
      </c>
    </row>
    <row r="26" spans="1:7" x14ac:dyDescent="0.2">
      <c r="A26" s="12">
        <v>44221</v>
      </c>
      <c r="C26" s="2" t="s">
        <v>27</v>
      </c>
      <c r="D26" s="1" t="s">
        <v>9</v>
      </c>
      <c r="F26" s="3">
        <v>500000</v>
      </c>
      <c r="G26" s="9">
        <f t="shared" si="1"/>
        <v>-10545096</v>
      </c>
    </row>
    <row r="27" spans="1:7" x14ac:dyDescent="0.2">
      <c r="A27" s="12">
        <v>44224</v>
      </c>
      <c r="C27" s="2" t="s">
        <v>15</v>
      </c>
      <c r="D27" s="1" t="s">
        <v>9</v>
      </c>
      <c r="E27" s="3">
        <v>4446286</v>
      </c>
      <c r="G27" s="9">
        <f t="shared" si="1"/>
        <v>-6098810</v>
      </c>
    </row>
    <row r="28" spans="1:7" x14ac:dyDescent="0.2">
      <c r="A28" s="12">
        <v>44224</v>
      </c>
      <c r="B28" s="1" t="s">
        <v>28</v>
      </c>
      <c r="C28" s="2" t="s">
        <v>22</v>
      </c>
      <c r="D28" s="1" t="s">
        <v>9</v>
      </c>
      <c r="F28" s="3">
        <v>3779129</v>
      </c>
      <c r="G28" s="9">
        <f t="shared" si="1"/>
        <v>-9877939</v>
      </c>
    </row>
    <row r="29" spans="1:7" x14ac:dyDescent="0.2">
      <c r="A29" s="12">
        <v>44225</v>
      </c>
      <c r="C29" s="2" t="s">
        <v>29</v>
      </c>
      <c r="D29" s="1" t="s">
        <v>9</v>
      </c>
      <c r="F29" s="3">
        <v>185206</v>
      </c>
      <c r="G29" s="9">
        <f t="shared" si="1"/>
        <v>-10063145</v>
      </c>
    </row>
    <row r="30" spans="1:7" ht="15.75" x14ac:dyDescent="0.25">
      <c r="A30" s="10" t="s">
        <v>30</v>
      </c>
    </row>
    <row r="31" spans="1:7" x14ac:dyDescent="0.2">
      <c r="A31" s="11" t="s">
        <v>2</v>
      </c>
      <c r="B31" s="5" t="s">
        <v>1</v>
      </c>
      <c r="C31" s="5" t="s">
        <v>3</v>
      </c>
      <c r="D31" s="5"/>
      <c r="E31" s="7" t="s">
        <v>4</v>
      </c>
      <c r="F31" s="7" t="s">
        <v>6</v>
      </c>
      <c r="G31" s="8" t="s">
        <v>5</v>
      </c>
    </row>
    <row r="32" spans="1:7" x14ac:dyDescent="0.2">
      <c r="A32" s="12">
        <v>44228</v>
      </c>
      <c r="C32" s="2" t="s">
        <v>10</v>
      </c>
      <c r="D32" s="1" t="s">
        <v>9</v>
      </c>
      <c r="E32" s="3">
        <v>765071</v>
      </c>
      <c r="G32" s="9">
        <f>G29+E32-F32</f>
        <v>-9298074</v>
      </c>
    </row>
    <row r="33" spans="1:7" x14ac:dyDescent="0.2">
      <c r="A33" s="12">
        <v>44229</v>
      </c>
      <c r="C33" s="2" t="s">
        <v>10</v>
      </c>
      <c r="D33" s="1" t="s">
        <v>9</v>
      </c>
      <c r="E33" s="3">
        <v>917594</v>
      </c>
      <c r="G33" s="9">
        <f t="shared" si="1"/>
        <v>-8380480</v>
      </c>
    </row>
    <row r="34" spans="1:7" x14ac:dyDescent="0.2">
      <c r="A34" s="12">
        <v>44230</v>
      </c>
      <c r="B34" s="1" t="s">
        <v>31</v>
      </c>
      <c r="C34" s="2" t="s">
        <v>32</v>
      </c>
      <c r="D34" s="1" t="s">
        <v>9</v>
      </c>
      <c r="F34" s="3">
        <v>222000</v>
      </c>
      <c r="G34" s="9">
        <f t="shared" si="1"/>
        <v>-8602480</v>
      </c>
    </row>
    <row r="35" spans="1:7" x14ac:dyDescent="0.2">
      <c r="A35" s="12">
        <v>44232</v>
      </c>
      <c r="C35" s="2" t="s">
        <v>33</v>
      </c>
      <c r="D35" s="1" t="s">
        <v>9</v>
      </c>
      <c r="F35" s="3">
        <f>2243008</f>
        <v>2243008</v>
      </c>
      <c r="G35" s="9">
        <f t="shared" si="1"/>
        <v>-10845488</v>
      </c>
    </row>
    <row r="36" spans="1:7" x14ac:dyDescent="0.2">
      <c r="A36" s="12">
        <v>44232</v>
      </c>
      <c r="C36" s="2" t="s">
        <v>34</v>
      </c>
      <c r="D36" s="1" t="s">
        <v>9</v>
      </c>
      <c r="F36" s="3">
        <v>5500</v>
      </c>
      <c r="G36" s="9">
        <f t="shared" si="1"/>
        <v>-10850988</v>
      </c>
    </row>
    <row r="37" spans="1:7" x14ac:dyDescent="0.2">
      <c r="A37" s="12">
        <v>44235</v>
      </c>
      <c r="C37" s="2" t="s">
        <v>39</v>
      </c>
      <c r="D37" s="1" t="s">
        <v>9</v>
      </c>
      <c r="E37" s="3">
        <v>521449</v>
      </c>
      <c r="G37" s="9">
        <f t="shared" si="1"/>
        <v>-10329539</v>
      </c>
    </row>
    <row r="38" spans="1:7" x14ac:dyDescent="0.2">
      <c r="A38" s="12">
        <v>44235</v>
      </c>
      <c r="C38" s="2" t="s">
        <v>38</v>
      </c>
      <c r="D38" s="1" t="s">
        <v>9</v>
      </c>
      <c r="F38" s="3">
        <f>2000+200</f>
        <v>2200</v>
      </c>
      <c r="G38" s="9">
        <f t="shared" si="1"/>
        <v>-10331739</v>
      </c>
    </row>
    <row r="39" spans="1:7" x14ac:dyDescent="0.2">
      <c r="A39" s="12">
        <v>44237</v>
      </c>
      <c r="B39" s="1" t="s">
        <v>36</v>
      </c>
      <c r="C39" s="2" t="s">
        <v>8</v>
      </c>
      <c r="D39" s="1" t="s">
        <v>9</v>
      </c>
      <c r="F39" s="3">
        <v>340000</v>
      </c>
      <c r="G39" s="9">
        <f t="shared" si="1"/>
        <v>-10671739</v>
      </c>
    </row>
    <row r="40" spans="1:7" x14ac:dyDescent="0.2">
      <c r="A40" s="12">
        <v>44238</v>
      </c>
      <c r="C40" s="2" t="s">
        <v>37</v>
      </c>
      <c r="D40" s="1" t="s">
        <v>9</v>
      </c>
      <c r="F40" s="3">
        <f>2156826+81017</f>
        <v>2237843</v>
      </c>
      <c r="G40" s="9">
        <f t="shared" si="1"/>
        <v>-12909582</v>
      </c>
    </row>
    <row r="41" spans="1:7" x14ac:dyDescent="0.2">
      <c r="A41" s="12">
        <v>44238</v>
      </c>
      <c r="C41" s="2" t="s">
        <v>35</v>
      </c>
      <c r="D41" s="1" t="s">
        <v>9</v>
      </c>
      <c r="F41" s="3">
        <v>6600</v>
      </c>
      <c r="G41" s="9">
        <f t="shared" si="1"/>
        <v>-12916182</v>
      </c>
    </row>
    <row r="42" spans="1:7" x14ac:dyDescent="0.2">
      <c r="A42" s="12">
        <v>44242</v>
      </c>
      <c r="C42" s="2" t="s">
        <v>40</v>
      </c>
      <c r="D42" s="1" t="s">
        <v>9</v>
      </c>
      <c r="F42" s="3">
        <f>1550000+275</f>
        <v>1550275</v>
      </c>
      <c r="G42" s="9">
        <f t="shared" si="1"/>
        <v>-14466457</v>
      </c>
    </row>
    <row r="43" spans="1:7" x14ac:dyDescent="0.2">
      <c r="A43" s="12">
        <v>44242</v>
      </c>
      <c r="C43" s="2" t="s">
        <v>41</v>
      </c>
      <c r="D43" s="1" t="s">
        <v>9</v>
      </c>
      <c r="F43" s="3">
        <f>976303+275</f>
        <v>976578</v>
      </c>
      <c r="G43" s="9">
        <f t="shared" si="1"/>
        <v>-15443035</v>
      </c>
    </row>
    <row r="44" spans="1:7" x14ac:dyDescent="0.2">
      <c r="A44" s="12">
        <v>44242</v>
      </c>
      <c r="C44" s="2" t="s">
        <v>42</v>
      </c>
      <c r="D44" s="1" t="s">
        <v>9</v>
      </c>
      <c r="F44" s="3">
        <f>1938214+275</f>
        <v>1938489</v>
      </c>
      <c r="G44" s="9">
        <f t="shared" si="1"/>
        <v>-17381524</v>
      </c>
    </row>
    <row r="45" spans="1:7" x14ac:dyDescent="0.2">
      <c r="A45" s="12">
        <v>44242</v>
      </c>
      <c r="C45" s="2" t="s">
        <v>44</v>
      </c>
      <c r="D45" s="1" t="s">
        <v>9</v>
      </c>
      <c r="E45" s="3">
        <v>699428</v>
      </c>
      <c r="G45" s="9">
        <f t="shared" si="1"/>
        <v>-16682096</v>
      </c>
    </row>
    <row r="46" spans="1:7" x14ac:dyDescent="0.2">
      <c r="A46" s="12">
        <v>44242</v>
      </c>
      <c r="C46" s="2" t="s">
        <v>43</v>
      </c>
      <c r="D46" s="1" t="s">
        <v>9</v>
      </c>
      <c r="E46" s="3">
        <v>257226</v>
      </c>
      <c r="G46" s="9">
        <f t="shared" si="1"/>
        <v>-16424870</v>
      </c>
    </row>
    <row r="47" spans="1:7" x14ac:dyDescent="0.2">
      <c r="A47" s="12">
        <v>44242</v>
      </c>
      <c r="C47" s="2" t="s">
        <v>64</v>
      </c>
      <c r="D47" s="1" t="s">
        <v>9</v>
      </c>
      <c r="F47" s="3">
        <f>10940+3300</f>
        <v>14240</v>
      </c>
      <c r="G47" s="9">
        <f t="shared" si="1"/>
        <v>-16439110</v>
      </c>
    </row>
    <row r="48" spans="1:7" x14ac:dyDescent="0.2">
      <c r="A48" s="12">
        <v>44242</v>
      </c>
      <c r="C48" s="2" t="s">
        <v>64</v>
      </c>
      <c r="D48" s="1" t="s">
        <v>9</v>
      </c>
      <c r="F48" s="3">
        <f>368550+3300</f>
        <v>371850</v>
      </c>
      <c r="G48" s="9">
        <f t="shared" si="1"/>
        <v>-16810960</v>
      </c>
    </row>
    <row r="49" spans="1:7" x14ac:dyDescent="0.2">
      <c r="A49" s="12">
        <v>44245</v>
      </c>
      <c r="C49" s="2" t="s">
        <v>45</v>
      </c>
      <c r="D49" s="1" t="s">
        <v>9</v>
      </c>
      <c r="E49" s="3">
        <v>539968</v>
      </c>
      <c r="G49" s="9">
        <f t="shared" si="1"/>
        <v>-16270992</v>
      </c>
    </row>
    <row r="50" spans="1:7" x14ac:dyDescent="0.2">
      <c r="A50" s="12">
        <v>44246</v>
      </c>
      <c r="C50" s="2" t="s">
        <v>46</v>
      </c>
      <c r="D50" s="1" t="s">
        <v>9</v>
      </c>
      <c r="E50" s="3">
        <v>1638123</v>
      </c>
      <c r="G50" s="9">
        <f t="shared" si="1"/>
        <v>-14632869</v>
      </c>
    </row>
    <row r="51" spans="1:7" x14ac:dyDescent="0.2">
      <c r="A51" s="12">
        <v>44250</v>
      </c>
      <c r="C51" s="2" t="s">
        <v>35</v>
      </c>
      <c r="D51" s="1" t="s">
        <v>9</v>
      </c>
      <c r="F51" s="3">
        <v>6600</v>
      </c>
      <c r="G51" s="9">
        <f t="shared" si="1"/>
        <v>-14639469</v>
      </c>
    </row>
    <row r="52" spans="1:7" x14ac:dyDescent="0.2">
      <c r="A52" s="12">
        <v>44252</v>
      </c>
      <c r="C52" s="2" t="s">
        <v>27</v>
      </c>
      <c r="D52" s="1" t="s">
        <v>9</v>
      </c>
      <c r="F52" s="3">
        <v>500000</v>
      </c>
      <c r="G52" s="9">
        <f t="shared" si="1"/>
        <v>-15139469</v>
      </c>
    </row>
    <row r="53" spans="1:7" x14ac:dyDescent="0.2">
      <c r="A53" s="12">
        <v>44253</v>
      </c>
      <c r="C53" s="2" t="s">
        <v>35</v>
      </c>
      <c r="D53" s="1" t="s">
        <v>9</v>
      </c>
      <c r="F53" s="3">
        <v>6600</v>
      </c>
      <c r="G53" s="9">
        <f t="shared" si="1"/>
        <v>-15146069</v>
      </c>
    </row>
    <row r="54" spans="1:7" x14ac:dyDescent="0.2">
      <c r="A54" s="12">
        <v>44253</v>
      </c>
      <c r="C54" s="2" t="s">
        <v>48</v>
      </c>
      <c r="D54" s="1" t="s">
        <v>9</v>
      </c>
      <c r="F54" s="3">
        <v>169727</v>
      </c>
      <c r="G54" s="9">
        <f t="shared" si="1"/>
        <v>-15315796</v>
      </c>
    </row>
    <row r="55" spans="1:7" x14ac:dyDescent="0.2">
      <c r="A55" s="12">
        <v>44253</v>
      </c>
      <c r="C55" s="2" t="s">
        <v>35</v>
      </c>
      <c r="D55" s="1" t="s">
        <v>9</v>
      </c>
      <c r="F55" s="3">
        <v>6600</v>
      </c>
      <c r="G55" s="9">
        <f t="shared" si="1"/>
        <v>-15322396</v>
      </c>
    </row>
    <row r="56" spans="1:7" ht="15.75" x14ac:dyDescent="0.25">
      <c r="A56" s="10" t="s">
        <v>50</v>
      </c>
    </row>
    <row r="57" spans="1:7" x14ac:dyDescent="0.2">
      <c r="A57" s="11" t="s">
        <v>2</v>
      </c>
      <c r="B57" s="5" t="s">
        <v>1</v>
      </c>
      <c r="C57" s="5" t="s">
        <v>3</v>
      </c>
      <c r="D57" s="5"/>
      <c r="E57" s="7" t="s">
        <v>4</v>
      </c>
      <c r="F57" s="7" t="s">
        <v>6</v>
      </c>
      <c r="G57" s="8" t="s">
        <v>5</v>
      </c>
    </row>
    <row r="58" spans="1:7" x14ac:dyDescent="0.2">
      <c r="A58" s="12">
        <v>44257</v>
      </c>
      <c r="C58" s="2" t="s">
        <v>57</v>
      </c>
      <c r="D58" s="1" t="s">
        <v>9</v>
      </c>
      <c r="E58" s="3">
        <v>412111</v>
      </c>
      <c r="G58" s="9">
        <f>G55+E58-F58</f>
        <v>-14910285</v>
      </c>
    </row>
    <row r="59" spans="1:7" x14ac:dyDescent="0.2">
      <c r="A59" s="12">
        <v>44257</v>
      </c>
      <c r="C59" s="2" t="s">
        <v>58</v>
      </c>
      <c r="D59" s="1" t="s">
        <v>9</v>
      </c>
      <c r="E59" s="3">
        <v>181930</v>
      </c>
      <c r="G59" s="9">
        <f t="shared" si="1"/>
        <v>-14728355</v>
      </c>
    </row>
    <row r="60" spans="1:7" x14ac:dyDescent="0.2">
      <c r="A60" s="12">
        <v>44257</v>
      </c>
      <c r="C60" s="2" t="s">
        <v>55</v>
      </c>
      <c r="D60" s="1" t="s">
        <v>9</v>
      </c>
      <c r="E60" s="3">
        <v>406121</v>
      </c>
      <c r="G60" s="9">
        <f t="shared" si="1"/>
        <v>-14322234</v>
      </c>
    </row>
    <row r="61" spans="1:7" x14ac:dyDescent="0.2">
      <c r="A61" s="12">
        <v>44257</v>
      </c>
      <c r="C61" s="2" t="s">
        <v>59</v>
      </c>
      <c r="D61" s="1" t="s">
        <v>9</v>
      </c>
      <c r="E61" s="3">
        <v>113486</v>
      </c>
      <c r="G61" s="9">
        <f t="shared" si="1"/>
        <v>-14208748</v>
      </c>
    </row>
    <row r="62" spans="1:7" x14ac:dyDescent="0.2">
      <c r="A62" s="12">
        <v>44257</v>
      </c>
      <c r="C62" s="2" t="s">
        <v>35</v>
      </c>
      <c r="D62" s="1" t="s">
        <v>9</v>
      </c>
      <c r="F62" s="3">
        <v>6600</v>
      </c>
      <c r="G62" s="9">
        <f t="shared" si="1"/>
        <v>-14215348</v>
      </c>
    </row>
    <row r="63" spans="1:7" x14ac:dyDescent="0.2">
      <c r="A63" s="12">
        <v>44258</v>
      </c>
      <c r="C63" s="2" t="s">
        <v>49</v>
      </c>
      <c r="D63" s="1" t="s">
        <v>9</v>
      </c>
      <c r="F63" s="3">
        <f>500000</f>
        <v>500000</v>
      </c>
      <c r="G63" s="9">
        <f t="shared" si="1"/>
        <v>-14715348</v>
      </c>
    </row>
    <row r="64" spans="1:7" x14ac:dyDescent="0.2">
      <c r="A64" s="12">
        <v>44258</v>
      </c>
      <c r="C64" s="2" t="s">
        <v>15</v>
      </c>
      <c r="D64" s="1" t="s">
        <v>9</v>
      </c>
      <c r="E64" s="3">
        <v>527789</v>
      </c>
      <c r="G64" s="9">
        <f t="shared" si="1"/>
        <v>-14187559</v>
      </c>
    </row>
    <row r="65" spans="1:7" x14ac:dyDescent="0.2">
      <c r="A65" s="12">
        <v>44258</v>
      </c>
      <c r="C65" s="2" t="s">
        <v>52</v>
      </c>
      <c r="D65" s="1" t="s">
        <v>9</v>
      </c>
      <c r="E65" s="3">
        <v>600000</v>
      </c>
      <c r="G65" s="9">
        <f t="shared" si="1"/>
        <v>-13587559</v>
      </c>
    </row>
    <row r="66" spans="1:7" x14ac:dyDescent="0.2">
      <c r="A66" s="12">
        <v>44258</v>
      </c>
      <c r="C66" s="2" t="s">
        <v>54</v>
      </c>
      <c r="D66" s="1" t="s">
        <v>9</v>
      </c>
      <c r="E66" s="3">
        <v>2000000</v>
      </c>
      <c r="G66" s="9">
        <f t="shared" si="1"/>
        <v>-11587559</v>
      </c>
    </row>
    <row r="67" spans="1:7" x14ac:dyDescent="0.2">
      <c r="A67" s="12">
        <v>44258</v>
      </c>
      <c r="C67" s="2" t="s">
        <v>53</v>
      </c>
      <c r="D67" s="1" t="s">
        <v>9</v>
      </c>
      <c r="F67" s="3">
        <v>100</v>
      </c>
      <c r="G67" s="9">
        <f t="shared" si="1"/>
        <v>-11587659</v>
      </c>
    </row>
    <row r="68" spans="1:7" x14ac:dyDescent="0.2">
      <c r="A68" s="12">
        <v>44258</v>
      </c>
      <c r="C68" s="2" t="s">
        <v>53</v>
      </c>
      <c r="D68" s="1" t="s">
        <v>9</v>
      </c>
      <c r="F68" s="3">
        <v>100</v>
      </c>
      <c r="G68" s="9">
        <f t="shared" si="1"/>
        <v>-11587759</v>
      </c>
    </row>
    <row r="69" spans="1:7" x14ac:dyDescent="0.2">
      <c r="A69" s="12">
        <v>44259</v>
      </c>
      <c r="B69" s="1" t="s">
        <v>47</v>
      </c>
      <c r="C69" s="2" t="s">
        <v>32</v>
      </c>
      <c r="D69" s="1" t="s">
        <v>9</v>
      </c>
      <c r="F69" s="3">
        <v>232000</v>
      </c>
      <c r="G69" s="9">
        <f t="shared" si="1"/>
        <v>-11819759</v>
      </c>
    </row>
    <row r="70" spans="1:7" x14ac:dyDescent="0.2">
      <c r="A70" s="12">
        <v>44259</v>
      </c>
      <c r="C70" s="2" t="s">
        <v>56</v>
      </c>
      <c r="D70" s="1" t="s">
        <v>9</v>
      </c>
      <c r="E70" s="3">
        <v>25888</v>
      </c>
      <c r="G70" s="9">
        <f t="shared" si="1"/>
        <v>-11793871</v>
      </c>
    </row>
    <row r="71" spans="1:7" x14ac:dyDescent="0.2">
      <c r="A71" s="12">
        <v>44259</v>
      </c>
      <c r="C71" s="2" t="s">
        <v>60</v>
      </c>
      <c r="D71" s="1" t="s">
        <v>9</v>
      </c>
      <c r="E71" s="3">
        <f>84075+587479+23648+2326845</f>
        <v>3022047</v>
      </c>
      <c r="G71" s="9">
        <f t="shared" si="1"/>
        <v>-8771824</v>
      </c>
    </row>
    <row r="72" spans="1:7" x14ac:dyDescent="0.2">
      <c r="A72" s="12">
        <v>44260</v>
      </c>
      <c r="C72" s="2" t="s">
        <v>51</v>
      </c>
      <c r="D72" s="1" t="s">
        <v>9</v>
      </c>
      <c r="F72" s="3">
        <v>2205772</v>
      </c>
      <c r="G72" s="9">
        <f t="shared" si="1"/>
        <v>-10977596</v>
      </c>
    </row>
    <row r="73" spans="1:7" x14ac:dyDescent="0.2">
      <c r="A73" s="12">
        <v>44260</v>
      </c>
      <c r="C73" s="2" t="s">
        <v>34</v>
      </c>
      <c r="D73" s="1" t="s">
        <v>9</v>
      </c>
      <c r="F73" s="3">
        <v>1375</v>
      </c>
      <c r="G73" s="9">
        <f t="shared" si="1"/>
        <v>-10978971</v>
      </c>
    </row>
    <row r="74" spans="1:7" x14ac:dyDescent="0.2">
      <c r="A74" s="12">
        <v>44263</v>
      </c>
      <c r="C74" s="2" t="s">
        <v>72</v>
      </c>
      <c r="D74" s="1" t="s">
        <v>9</v>
      </c>
      <c r="E74" s="3">
        <f>62575+75426+1711085</f>
        <v>1849086</v>
      </c>
      <c r="G74" s="9">
        <f t="shared" si="1"/>
        <v>-9129885</v>
      </c>
    </row>
    <row r="75" spans="1:7" x14ac:dyDescent="0.2">
      <c r="A75" s="12">
        <v>44263</v>
      </c>
      <c r="C75" s="2" t="s">
        <v>18</v>
      </c>
      <c r="D75" s="1" t="s">
        <v>9</v>
      </c>
      <c r="E75" s="3">
        <v>76228</v>
      </c>
      <c r="G75" s="9">
        <f t="shared" si="1"/>
        <v>-9053657</v>
      </c>
    </row>
    <row r="76" spans="1:7" x14ac:dyDescent="0.2">
      <c r="A76" s="12">
        <v>44264</v>
      </c>
      <c r="C76" s="2" t="s">
        <v>61</v>
      </c>
      <c r="D76" s="1" t="s">
        <v>9</v>
      </c>
      <c r="E76" s="3">
        <v>38626</v>
      </c>
      <c r="G76" s="9">
        <f t="shared" si="1"/>
        <v>-9015031</v>
      </c>
    </row>
    <row r="77" spans="1:7" x14ac:dyDescent="0.2">
      <c r="A77" s="12">
        <v>44264</v>
      </c>
      <c r="C77" s="2" t="s">
        <v>38</v>
      </c>
      <c r="D77" s="1" t="s">
        <v>9</v>
      </c>
      <c r="F77" s="3">
        <f>2000+200</f>
        <v>2200</v>
      </c>
      <c r="G77" s="9">
        <f t="shared" si="1"/>
        <v>-9017231</v>
      </c>
    </row>
    <row r="78" spans="1:7" x14ac:dyDescent="0.2">
      <c r="A78" s="12">
        <v>44267</v>
      </c>
      <c r="C78" s="2" t="s">
        <v>62</v>
      </c>
      <c r="D78" s="1" t="s">
        <v>9</v>
      </c>
      <c r="E78" s="3">
        <f>14254+245590+80004+532934+20305+755200+95686</f>
        <v>1743973</v>
      </c>
      <c r="G78" s="9">
        <f t="shared" si="1"/>
        <v>-7273258</v>
      </c>
    </row>
    <row r="79" spans="1:7" x14ac:dyDescent="0.2">
      <c r="A79" s="12">
        <v>44270</v>
      </c>
      <c r="C79" s="2" t="s">
        <v>70</v>
      </c>
      <c r="D79" s="1" t="s">
        <v>9</v>
      </c>
      <c r="E79" s="3">
        <v>41845</v>
      </c>
      <c r="G79" s="9">
        <f t="shared" si="1"/>
        <v>-7231413</v>
      </c>
    </row>
    <row r="80" spans="1:7" x14ac:dyDescent="0.2">
      <c r="A80" s="12">
        <v>44270</v>
      </c>
      <c r="C80" s="2" t="s">
        <v>71</v>
      </c>
      <c r="D80" s="1" t="s">
        <v>9</v>
      </c>
      <c r="E80" s="3">
        <v>92925</v>
      </c>
      <c r="G80" s="9">
        <f t="shared" si="1"/>
        <v>-7138488</v>
      </c>
    </row>
    <row r="81" spans="1:7" x14ac:dyDescent="0.2">
      <c r="A81" s="12">
        <v>44271</v>
      </c>
      <c r="C81" s="2" t="s">
        <v>15</v>
      </c>
      <c r="D81" s="1" t="s">
        <v>9</v>
      </c>
      <c r="E81" s="3">
        <v>805810</v>
      </c>
      <c r="G81" s="9">
        <f t="shared" si="1"/>
        <v>-6332678</v>
      </c>
    </row>
    <row r="82" spans="1:7" x14ac:dyDescent="0.2">
      <c r="A82" s="12">
        <v>44271</v>
      </c>
      <c r="C82" s="2" t="s">
        <v>73</v>
      </c>
      <c r="D82" s="1" t="s">
        <v>9</v>
      </c>
      <c r="E82" s="3">
        <v>944000</v>
      </c>
      <c r="G82" s="9">
        <f t="shared" si="1"/>
        <v>-5388678</v>
      </c>
    </row>
    <row r="83" spans="1:7" x14ac:dyDescent="0.2">
      <c r="A83" s="12">
        <v>44271</v>
      </c>
      <c r="C83" s="2" t="s">
        <v>74</v>
      </c>
      <c r="D83" s="1" t="s">
        <v>9</v>
      </c>
      <c r="E83" s="3">
        <v>500000</v>
      </c>
      <c r="G83" s="9">
        <f t="shared" si="1"/>
        <v>-4888678</v>
      </c>
    </row>
    <row r="84" spans="1:7" x14ac:dyDescent="0.2">
      <c r="A84" s="12">
        <v>44271</v>
      </c>
      <c r="C84" s="2" t="s">
        <v>75</v>
      </c>
      <c r="D84" s="1" t="s">
        <v>9</v>
      </c>
      <c r="E84" s="3">
        <f>25993+1395893+120360+51404</f>
        <v>1593650</v>
      </c>
      <c r="G84" s="9">
        <f t="shared" si="1"/>
        <v>-3295028</v>
      </c>
    </row>
    <row r="85" spans="1:7" x14ac:dyDescent="0.2">
      <c r="A85" s="12">
        <v>44271</v>
      </c>
      <c r="C85" s="2" t="s">
        <v>63</v>
      </c>
      <c r="D85" s="1" t="s">
        <v>9</v>
      </c>
      <c r="F85" s="3">
        <f>8663+3300</f>
        <v>11963</v>
      </c>
      <c r="G85" s="9">
        <f t="shared" si="1"/>
        <v>-3306991</v>
      </c>
    </row>
    <row r="86" spans="1:7" x14ac:dyDescent="0.2">
      <c r="A86" s="12">
        <v>44271</v>
      </c>
      <c r="C86" s="2" t="s">
        <v>63</v>
      </c>
      <c r="D86" s="1" t="s">
        <v>9</v>
      </c>
      <c r="F86" s="3">
        <f>2766743+3300</f>
        <v>2770043</v>
      </c>
      <c r="G86" s="9">
        <f t="shared" si="1"/>
        <v>-6077034</v>
      </c>
    </row>
    <row r="87" spans="1:7" x14ac:dyDescent="0.2">
      <c r="A87" s="12">
        <v>44272</v>
      </c>
      <c r="C87" s="2" t="s">
        <v>65</v>
      </c>
      <c r="D87" s="1" t="s">
        <v>9</v>
      </c>
      <c r="F87" s="3">
        <f>1470945</f>
        <v>1470945</v>
      </c>
      <c r="G87" s="9">
        <f t="shared" si="1"/>
        <v>-7547979</v>
      </c>
    </row>
    <row r="88" spans="1:7" x14ac:dyDescent="0.2">
      <c r="A88" s="12">
        <v>44274</v>
      </c>
      <c r="C88" s="2" t="s">
        <v>66</v>
      </c>
      <c r="D88" s="1" t="s">
        <v>9</v>
      </c>
      <c r="F88" s="3">
        <f>2244305+275</f>
        <v>2244580</v>
      </c>
      <c r="G88" s="9">
        <f t="shared" si="1"/>
        <v>-9792559</v>
      </c>
    </row>
    <row r="89" spans="1:7" x14ac:dyDescent="0.2">
      <c r="A89" s="12">
        <v>44274</v>
      </c>
      <c r="C89" s="2" t="s">
        <v>67</v>
      </c>
      <c r="D89" s="1" t="s">
        <v>9</v>
      </c>
      <c r="F89" s="3">
        <f>661024+275</f>
        <v>661299</v>
      </c>
      <c r="G89" s="9">
        <f t="shared" ref="G89:G158" si="2">G88+E89-F89</f>
        <v>-10453858</v>
      </c>
    </row>
    <row r="90" spans="1:7" x14ac:dyDescent="0.2">
      <c r="A90" s="12">
        <v>44274</v>
      </c>
      <c r="C90" s="2" t="s">
        <v>68</v>
      </c>
      <c r="D90" s="1" t="s">
        <v>9</v>
      </c>
      <c r="F90" s="3">
        <f>1710295</f>
        <v>1710295</v>
      </c>
      <c r="G90" s="9">
        <f t="shared" si="2"/>
        <v>-12164153</v>
      </c>
    </row>
    <row r="91" spans="1:7" x14ac:dyDescent="0.2">
      <c r="A91" s="12">
        <v>44274</v>
      </c>
      <c r="C91" s="2" t="s">
        <v>69</v>
      </c>
      <c r="D91" s="1" t="s">
        <v>9</v>
      </c>
      <c r="F91" s="3">
        <f>1800000+275</f>
        <v>1800275</v>
      </c>
      <c r="G91" s="9">
        <f t="shared" si="2"/>
        <v>-13964428</v>
      </c>
    </row>
    <row r="92" spans="1:7" x14ac:dyDescent="0.2">
      <c r="A92" s="12">
        <v>44274</v>
      </c>
      <c r="C92" s="2" t="s">
        <v>52</v>
      </c>
      <c r="D92" s="1" t="s">
        <v>9</v>
      </c>
      <c r="E92" s="3">
        <v>700000</v>
      </c>
      <c r="G92" s="9">
        <f t="shared" si="2"/>
        <v>-13264428</v>
      </c>
    </row>
    <row r="93" spans="1:7" x14ac:dyDescent="0.2">
      <c r="A93" s="12">
        <v>44274</v>
      </c>
      <c r="C93" s="2" t="s">
        <v>53</v>
      </c>
      <c r="D93" s="1" t="s">
        <v>9</v>
      </c>
      <c r="F93" s="3">
        <v>100</v>
      </c>
      <c r="G93" s="9">
        <f t="shared" si="2"/>
        <v>-13264528</v>
      </c>
    </row>
    <row r="94" spans="1:7" x14ac:dyDescent="0.2">
      <c r="A94" s="12">
        <v>44274</v>
      </c>
      <c r="C94" s="2" t="s">
        <v>76</v>
      </c>
      <c r="D94" s="1" t="s">
        <v>9</v>
      </c>
      <c r="E94" s="3">
        <v>17110</v>
      </c>
      <c r="G94" s="9">
        <f t="shared" si="2"/>
        <v>-13247418</v>
      </c>
    </row>
    <row r="95" spans="1:7" x14ac:dyDescent="0.2">
      <c r="A95" s="12">
        <v>44277</v>
      </c>
      <c r="C95" s="2" t="s">
        <v>79</v>
      </c>
      <c r="D95" s="1" t="s">
        <v>9</v>
      </c>
      <c r="E95" s="3">
        <f>300900+47100+538816</f>
        <v>886816</v>
      </c>
      <c r="G95" s="9">
        <f t="shared" si="2"/>
        <v>-12360602</v>
      </c>
    </row>
    <row r="96" spans="1:7" x14ac:dyDescent="0.2">
      <c r="A96" s="12">
        <v>44278</v>
      </c>
      <c r="C96" s="2" t="s">
        <v>78</v>
      </c>
      <c r="D96" s="1" t="s">
        <v>9</v>
      </c>
      <c r="E96" s="3">
        <f>327807+367157</f>
        <v>694964</v>
      </c>
      <c r="G96" s="9">
        <f t="shared" si="2"/>
        <v>-11665638</v>
      </c>
    </row>
    <row r="97" spans="1:7" x14ac:dyDescent="0.2">
      <c r="A97" s="12">
        <v>44279</v>
      </c>
      <c r="C97" s="2" t="s">
        <v>77</v>
      </c>
      <c r="D97" s="1" t="s">
        <v>9</v>
      </c>
      <c r="F97" s="3">
        <f>1744125</f>
        <v>1744125</v>
      </c>
      <c r="G97" s="9">
        <f t="shared" si="2"/>
        <v>-13409763</v>
      </c>
    </row>
    <row r="98" spans="1:7" x14ac:dyDescent="0.2">
      <c r="A98" s="12">
        <v>44280</v>
      </c>
      <c r="B98" s="1" t="s">
        <v>82</v>
      </c>
      <c r="C98" s="2" t="s">
        <v>83</v>
      </c>
      <c r="D98" s="1" t="s">
        <v>9</v>
      </c>
      <c r="F98" s="3">
        <v>283415</v>
      </c>
      <c r="G98" s="9">
        <f t="shared" si="2"/>
        <v>-13693178</v>
      </c>
    </row>
    <row r="99" spans="1:7" x14ac:dyDescent="0.2">
      <c r="A99" s="12">
        <v>44280</v>
      </c>
      <c r="C99" s="2" t="s">
        <v>27</v>
      </c>
      <c r="D99" s="1" t="s">
        <v>9</v>
      </c>
      <c r="F99" s="3">
        <v>500000</v>
      </c>
      <c r="G99" s="9">
        <f t="shared" si="2"/>
        <v>-14193178</v>
      </c>
    </row>
    <row r="100" spans="1:7" x14ac:dyDescent="0.2">
      <c r="A100" s="12">
        <v>44284</v>
      </c>
      <c r="C100" s="2" t="s">
        <v>80</v>
      </c>
      <c r="D100" s="1" t="s">
        <v>9</v>
      </c>
      <c r="E100" s="3">
        <f>223818+447839+904316+78702</f>
        <v>1654675</v>
      </c>
      <c r="G100" s="9">
        <f t="shared" si="2"/>
        <v>-12538503</v>
      </c>
    </row>
    <row r="101" spans="1:7" x14ac:dyDescent="0.2">
      <c r="A101" s="12">
        <v>44284</v>
      </c>
      <c r="B101" s="1" t="s">
        <v>85</v>
      </c>
      <c r="C101" s="2" t="s">
        <v>81</v>
      </c>
      <c r="D101" s="1" t="s">
        <v>9</v>
      </c>
      <c r="F101" s="3">
        <v>500000</v>
      </c>
      <c r="G101" s="9">
        <f t="shared" si="2"/>
        <v>-13038503</v>
      </c>
    </row>
    <row r="102" spans="1:7" x14ac:dyDescent="0.2">
      <c r="A102" s="13">
        <v>44284</v>
      </c>
      <c r="B102" s="14"/>
      <c r="C102" s="15" t="s">
        <v>84</v>
      </c>
      <c r="D102" s="14" t="s">
        <v>9</v>
      </c>
      <c r="E102" s="16"/>
      <c r="F102" s="16">
        <v>487589</v>
      </c>
      <c r="G102" s="9">
        <f t="shared" si="2"/>
        <v>-13526092</v>
      </c>
    </row>
    <row r="103" spans="1:7" x14ac:dyDescent="0.2">
      <c r="A103" s="12">
        <v>44284</v>
      </c>
      <c r="C103" s="2" t="s">
        <v>35</v>
      </c>
      <c r="D103" s="1" t="s">
        <v>9</v>
      </c>
      <c r="F103" s="3">
        <v>6600</v>
      </c>
      <c r="G103" s="9">
        <f t="shared" si="2"/>
        <v>-13532692</v>
      </c>
    </row>
    <row r="104" spans="1:7" x14ac:dyDescent="0.2">
      <c r="A104" s="12">
        <v>44286</v>
      </c>
      <c r="C104" s="2" t="s">
        <v>86</v>
      </c>
      <c r="D104" s="1" t="s">
        <v>9</v>
      </c>
      <c r="F104" s="3">
        <v>162170</v>
      </c>
      <c r="G104" s="9">
        <f t="shared" si="2"/>
        <v>-13694862</v>
      </c>
    </row>
    <row r="105" spans="1:7" x14ac:dyDescent="0.2">
      <c r="A105" s="12">
        <v>44286</v>
      </c>
      <c r="C105" s="2" t="s">
        <v>87</v>
      </c>
      <c r="D105" s="1" t="s">
        <v>9</v>
      </c>
      <c r="E105" s="3">
        <v>181932</v>
      </c>
      <c r="G105" s="9">
        <f t="shared" si="2"/>
        <v>-13512930</v>
      </c>
    </row>
    <row r="106" spans="1:7" ht="15.75" x14ac:dyDescent="0.25">
      <c r="A106" s="10" t="s">
        <v>117</v>
      </c>
    </row>
    <row r="107" spans="1:7" x14ac:dyDescent="0.2">
      <c r="A107" s="11" t="s">
        <v>2</v>
      </c>
      <c r="B107" s="5" t="s">
        <v>1</v>
      </c>
      <c r="C107" s="5" t="s">
        <v>3</v>
      </c>
      <c r="D107" s="5"/>
      <c r="E107" s="7" t="s">
        <v>4</v>
      </c>
      <c r="F107" s="7" t="s">
        <v>6</v>
      </c>
      <c r="G107" s="8" t="s">
        <v>5</v>
      </c>
    </row>
    <row r="108" spans="1:7" x14ac:dyDescent="0.2">
      <c r="A108" s="12">
        <v>44287</v>
      </c>
      <c r="C108" s="2" t="s">
        <v>91</v>
      </c>
      <c r="D108" s="1" t="s">
        <v>9</v>
      </c>
      <c r="E108" s="3">
        <v>600000</v>
      </c>
      <c r="G108" s="9">
        <f>G105+E108-F108</f>
        <v>-12912930</v>
      </c>
    </row>
    <row r="109" spans="1:7" x14ac:dyDescent="0.2">
      <c r="A109" s="12">
        <v>44288</v>
      </c>
      <c r="C109" s="2" t="s">
        <v>88</v>
      </c>
      <c r="D109" s="1" t="s">
        <v>9</v>
      </c>
      <c r="F109" s="3">
        <v>1454320</v>
      </c>
      <c r="G109" s="9">
        <f t="shared" si="2"/>
        <v>-14367250</v>
      </c>
    </row>
    <row r="110" spans="1:7" x14ac:dyDescent="0.2">
      <c r="A110" s="12">
        <v>44288</v>
      </c>
      <c r="C110" s="2" t="s">
        <v>45</v>
      </c>
      <c r="D110" s="1" t="s">
        <v>9</v>
      </c>
      <c r="E110" s="3">
        <v>1077125</v>
      </c>
      <c r="G110" s="9">
        <f t="shared" si="2"/>
        <v>-13290125</v>
      </c>
    </row>
    <row r="111" spans="1:7" x14ac:dyDescent="0.2">
      <c r="A111" s="12">
        <v>44292</v>
      </c>
      <c r="C111" s="2" t="s">
        <v>89</v>
      </c>
      <c r="D111" s="1" t="s">
        <v>9</v>
      </c>
      <c r="F111" s="3">
        <v>1733975</v>
      </c>
      <c r="G111" s="9">
        <f t="shared" si="2"/>
        <v>-15024100</v>
      </c>
    </row>
    <row r="112" spans="1:7" x14ac:dyDescent="0.2">
      <c r="A112" s="12">
        <v>44292</v>
      </c>
      <c r="C112" s="2" t="s">
        <v>34</v>
      </c>
      <c r="D112" s="1" t="s">
        <v>9</v>
      </c>
      <c r="F112" s="3">
        <v>1238</v>
      </c>
      <c r="G112" s="9">
        <f t="shared" si="2"/>
        <v>-15025338</v>
      </c>
    </row>
    <row r="113" spans="1:7" x14ac:dyDescent="0.2">
      <c r="A113" s="12">
        <v>44294</v>
      </c>
      <c r="C113" s="2" t="s">
        <v>90</v>
      </c>
      <c r="D113" s="1" t="s">
        <v>9</v>
      </c>
      <c r="F113" s="3">
        <v>3065912</v>
      </c>
      <c r="G113" s="9">
        <f t="shared" si="2"/>
        <v>-18091250</v>
      </c>
    </row>
    <row r="114" spans="1:7" x14ac:dyDescent="0.2">
      <c r="A114" s="12">
        <v>44294</v>
      </c>
      <c r="C114" s="2" t="s">
        <v>92</v>
      </c>
      <c r="D114" s="1" t="s">
        <v>9</v>
      </c>
      <c r="E114" s="3">
        <v>281707</v>
      </c>
      <c r="G114" s="9">
        <f t="shared" si="2"/>
        <v>-17809543</v>
      </c>
    </row>
    <row r="115" spans="1:7" x14ac:dyDescent="0.2">
      <c r="A115" s="12">
        <v>44294</v>
      </c>
      <c r="C115" s="2" t="s">
        <v>93</v>
      </c>
      <c r="D115" s="1" t="s">
        <v>9</v>
      </c>
      <c r="E115" s="3">
        <f>4915+194700+131216</f>
        <v>330831</v>
      </c>
      <c r="G115" s="9">
        <f t="shared" si="2"/>
        <v>-17478712</v>
      </c>
    </row>
    <row r="116" spans="1:7" x14ac:dyDescent="0.2">
      <c r="A116" s="12">
        <v>44299</v>
      </c>
      <c r="C116" s="2" t="s">
        <v>183</v>
      </c>
      <c r="D116" s="1" t="s">
        <v>9</v>
      </c>
      <c r="E116" s="3">
        <v>10000000</v>
      </c>
      <c r="G116" s="9">
        <f t="shared" si="2"/>
        <v>-7478712</v>
      </c>
    </row>
    <row r="117" spans="1:7" x14ac:dyDescent="0.2">
      <c r="A117" s="12">
        <v>44299</v>
      </c>
      <c r="C117" s="2" t="s">
        <v>53</v>
      </c>
      <c r="D117" s="1" t="s">
        <v>9</v>
      </c>
      <c r="F117" s="3">
        <v>100</v>
      </c>
      <c r="G117" s="9">
        <f t="shared" si="2"/>
        <v>-7478812</v>
      </c>
    </row>
    <row r="118" spans="1:7" x14ac:dyDescent="0.2">
      <c r="A118" s="12">
        <v>44300</v>
      </c>
      <c r="C118" s="2" t="s">
        <v>183</v>
      </c>
      <c r="D118" s="1" t="s">
        <v>9</v>
      </c>
      <c r="E118" s="3">
        <v>3000000</v>
      </c>
      <c r="G118" s="9">
        <f t="shared" si="2"/>
        <v>-4478812</v>
      </c>
    </row>
    <row r="119" spans="1:7" x14ac:dyDescent="0.2">
      <c r="A119" s="12">
        <v>44300</v>
      </c>
      <c r="C119" s="2" t="s">
        <v>121</v>
      </c>
      <c r="D119" s="1" t="s">
        <v>9</v>
      </c>
      <c r="E119" s="3">
        <v>11800</v>
      </c>
      <c r="G119" s="9">
        <f t="shared" si="2"/>
        <v>-4467012</v>
      </c>
    </row>
    <row r="120" spans="1:7" x14ac:dyDescent="0.2">
      <c r="A120" s="12">
        <v>44300</v>
      </c>
      <c r="C120" s="2" t="s">
        <v>122</v>
      </c>
      <c r="D120" s="1" t="s">
        <v>9</v>
      </c>
      <c r="E120" s="3">
        <v>552240</v>
      </c>
      <c r="G120" s="9">
        <f t="shared" si="2"/>
        <v>-3914772</v>
      </c>
    </row>
    <row r="121" spans="1:7" x14ac:dyDescent="0.2">
      <c r="A121" s="12">
        <v>44300</v>
      </c>
      <c r="C121" s="2" t="s">
        <v>53</v>
      </c>
      <c r="D121" s="1" t="s">
        <v>9</v>
      </c>
      <c r="F121" s="3">
        <v>100</v>
      </c>
      <c r="G121" s="9">
        <f t="shared" si="2"/>
        <v>-3914872</v>
      </c>
    </row>
    <row r="122" spans="1:7" x14ac:dyDescent="0.2">
      <c r="A122" s="12">
        <v>44301</v>
      </c>
      <c r="C122" s="2" t="s">
        <v>125</v>
      </c>
      <c r="D122" s="1" t="s">
        <v>9</v>
      </c>
      <c r="E122" s="3">
        <f>139174+789243+19576</f>
        <v>947993</v>
      </c>
      <c r="G122" s="9">
        <f t="shared" si="2"/>
        <v>-2966879</v>
      </c>
    </row>
    <row r="123" spans="1:7" x14ac:dyDescent="0.2">
      <c r="A123" s="12">
        <v>44301</v>
      </c>
      <c r="C123" s="2" t="s">
        <v>126</v>
      </c>
      <c r="D123" s="1" t="s">
        <v>9</v>
      </c>
      <c r="E123" s="3">
        <f>42126+65049</f>
        <v>107175</v>
      </c>
      <c r="G123" s="9">
        <f t="shared" si="2"/>
        <v>-2859704</v>
      </c>
    </row>
    <row r="124" spans="1:7" x14ac:dyDescent="0.2">
      <c r="A124" s="12">
        <v>44301</v>
      </c>
      <c r="C124" s="2" t="s">
        <v>115</v>
      </c>
      <c r="D124" s="1" t="s">
        <v>9</v>
      </c>
      <c r="E124" s="3">
        <v>4407300</v>
      </c>
      <c r="G124" s="9">
        <f t="shared" si="2"/>
        <v>1547596</v>
      </c>
    </row>
    <row r="125" spans="1:7" x14ac:dyDescent="0.2">
      <c r="A125" s="12">
        <v>44301</v>
      </c>
      <c r="C125" s="2" t="s">
        <v>123</v>
      </c>
      <c r="D125" s="1" t="s">
        <v>9</v>
      </c>
      <c r="E125" s="3">
        <v>366237</v>
      </c>
      <c r="G125" s="9">
        <f t="shared" si="2"/>
        <v>1913833</v>
      </c>
    </row>
    <row r="126" spans="1:7" x14ac:dyDescent="0.2">
      <c r="A126" s="12">
        <v>44301</v>
      </c>
      <c r="C126" s="2" t="s">
        <v>127</v>
      </c>
      <c r="D126" s="1" t="s">
        <v>9</v>
      </c>
      <c r="E126" s="3">
        <f>406079+11107+17800</f>
        <v>434986</v>
      </c>
      <c r="G126" s="9">
        <f t="shared" si="2"/>
        <v>2348819</v>
      </c>
    </row>
    <row r="127" spans="1:7" x14ac:dyDescent="0.2">
      <c r="A127" s="12">
        <v>44301</v>
      </c>
      <c r="C127" s="2" t="s">
        <v>124</v>
      </c>
      <c r="D127" s="1" t="s">
        <v>9</v>
      </c>
      <c r="E127" s="3">
        <v>1453996</v>
      </c>
      <c r="G127" s="9">
        <f t="shared" si="2"/>
        <v>3802815</v>
      </c>
    </row>
    <row r="128" spans="1:7" x14ac:dyDescent="0.2">
      <c r="A128" s="12">
        <v>44302</v>
      </c>
      <c r="C128" s="2" t="s">
        <v>76</v>
      </c>
      <c r="D128" s="1" t="s">
        <v>9</v>
      </c>
      <c r="E128" s="3">
        <v>122720</v>
      </c>
      <c r="G128" s="9">
        <f t="shared" si="2"/>
        <v>3925535</v>
      </c>
    </row>
    <row r="129" spans="1:7" x14ac:dyDescent="0.2">
      <c r="A129" s="12">
        <v>44305</v>
      </c>
      <c r="C129" s="2" t="s">
        <v>15</v>
      </c>
      <c r="D129" s="1" t="s">
        <v>9</v>
      </c>
      <c r="E129" s="3">
        <v>239592</v>
      </c>
      <c r="G129" s="9">
        <f t="shared" si="2"/>
        <v>4165127</v>
      </c>
    </row>
    <row r="130" spans="1:7" x14ac:dyDescent="0.2">
      <c r="A130" s="12">
        <v>44305</v>
      </c>
      <c r="B130" s="1" t="s">
        <v>94</v>
      </c>
      <c r="C130" s="2" t="s">
        <v>96</v>
      </c>
      <c r="D130" s="1" t="s">
        <v>9</v>
      </c>
      <c r="F130" s="3">
        <v>207344</v>
      </c>
      <c r="G130" s="9">
        <f t="shared" si="2"/>
        <v>3957783</v>
      </c>
    </row>
    <row r="131" spans="1:7" x14ac:dyDescent="0.2">
      <c r="A131" s="12">
        <v>44305</v>
      </c>
      <c r="C131" s="2" t="s">
        <v>95</v>
      </c>
      <c r="D131" s="1" t="s">
        <v>9</v>
      </c>
      <c r="F131" s="3">
        <f>1169027+3300</f>
        <v>1172327</v>
      </c>
      <c r="G131" s="9">
        <f t="shared" si="2"/>
        <v>2785456</v>
      </c>
    </row>
    <row r="132" spans="1:7" x14ac:dyDescent="0.2">
      <c r="A132" s="12">
        <v>44305</v>
      </c>
      <c r="C132" s="2" t="s">
        <v>97</v>
      </c>
      <c r="D132" s="1" t="s">
        <v>9</v>
      </c>
      <c r="F132" s="3">
        <f>10870+3300</f>
        <v>14170</v>
      </c>
      <c r="G132" s="9">
        <f t="shared" si="2"/>
        <v>2771286</v>
      </c>
    </row>
    <row r="133" spans="1:7" x14ac:dyDescent="0.2">
      <c r="A133" s="12">
        <v>44305</v>
      </c>
      <c r="C133" s="2" t="s">
        <v>98</v>
      </c>
      <c r="D133" s="1" t="s">
        <v>9</v>
      </c>
      <c r="F133" s="3">
        <v>1714733</v>
      </c>
      <c r="G133" s="9">
        <f t="shared" si="2"/>
        <v>1056553</v>
      </c>
    </row>
    <row r="134" spans="1:7" x14ac:dyDescent="0.2">
      <c r="A134" s="12">
        <v>44305</v>
      </c>
      <c r="B134" s="1" t="s">
        <v>113</v>
      </c>
      <c r="C134" s="2" t="s">
        <v>99</v>
      </c>
      <c r="D134" s="1" t="s">
        <v>9</v>
      </c>
      <c r="F134" s="3">
        <v>199170</v>
      </c>
      <c r="G134" s="9">
        <f t="shared" si="2"/>
        <v>857383</v>
      </c>
    </row>
    <row r="135" spans="1:7" x14ac:dyDescent="0.2">
      <c r="A135" s="12">
        <v>44306</v>
      </c>
      <c r="C135" s="2" t="s">
        <v>105</v>
      </c>
      <c r="D135" s="1" t="s">
        <v>9</v>
      </c>
      <c r="E135" s="3">
        <v>1883371</v>
      </c>
      <c r="G135" s="9">
        <f t="shared" si="2"/>
        <v>2740754</v>
      </c>
    </row>
    <row r="136" spans="1:7" x14ac:dyDescent="0.2">
      <c r="A136" s="12">
        <v>44306</v>
      </c>
      <c r="C136" s="2" t="s">
        <v>106</v>
      </c>
      <c r="D136" s="1" t="s">
        <v>9</v>
      </c>
      <c r="E136" s="3">
        <f>102070+130684</f>
        <v>232754</v>
      </c>
      <c r="G136" s="9">
        <f t="shared" si="2"/>
        <v>2973508</v>
      </c>
    </row>
    <row r="137" spans="1:7" x14ac:dyDescent="0.2">
      <c r="A137" s="12">
        <v>44306</v>
      </c>
      <c r="C137" s="2" t="s">
        <v>107</v>
      </c>
      <c r="D137" s="1" t="s">
        <v>9</v>
      </c>
      <c r="E137" s="3">
        <f>55254+104914+17753</f>
        <v>177921</v>
      </c>
      <c r="G137" s="9">
        <f t="shared" si="2"/>
        <v>3151429</v>
      </c>
    </row>
    <row r="138" spans="1:7" x14ac:dyDescent="0.2">
      <c r="A138" s="12">
        <v>44308</v>
      </c>
      <c r="C138" s="2" t="s">
        <v>100</v>
      </c>
      <c r="D138" s="1" t="s">
        <v>9</v>
      </c>
      <c r="F138" s="3">
        <f>1800000+275</f>
        <v>1800275</v>
      </c>
      <c r="G138" s="9">
        <f t="shared" si="2"/>
        <v>1351154</v>
      </c>
    </row>
    <row r="139" spans="1:7" x14ac:dyDescent="0.2">
      <c r="A139" s="12">
        <v>44308</v>
      </c>
      <c r="C139" s="2" t="s">
        <v>101</v>
      </c>
      <c r="D139" s="1" t="s">
        <v>9</v>
      </c>
      <c r="F139" s="3">
        <f>1029417</f>
        <v>1029417</v>
      </c>
      <c r="G139" s="9">
        <f t="shared" si="2"/>
        <v>321737</v>
      </c>
    </row>
    <row r="140" spans="1:7" x14ac:dyDescent="0.2">
      <c r="A140" s="12">
        <v>44308</v>
      </c>
      <c r="C140" s="2" t="s">
        <v>102</v>
      </c>
      <c r="D140" s="1" t="s">
        <v>9</v>
      </c>
      <c r="F140" s="3">
        <f>964356</f>
        <v>964356</v>
      </c>
      <c r="G140" s="9">
        <f t="shared" si="2"/>
        <v>-642619</v>
      </c>
    </row>
    <row r="141" spans="1:7" x14ac:dyDescent="0.2">
      <c r="A141" s="12">
        <v>44308</v>
      </c>
      <c r="C141" s="2" t="s">
        <v>49</v>
      </c>
      <c r="D141" s="1" t="s">
        <v>9</v>
      </c>
      <c r="F141" s="3">
        <f>500000</f>
        <v>500000</v>
      </c>
      <c r="G141" s="9">
        <f t="shared" si="2"/>
        <v>-1142619</v>
      </c>
    </row>
    <row r="142" spans="1:7" x14ac:dyDescent="0.2">
      <c r="A142" s="12">
        <v>44308</v>
      </c>
      <c r="C142" s="2" t="s">
        <v>103</v>
      </c>
      <c r="D142" s="1" t="s">
        <v>9</v>
      </c>
      <c r="F142" s="3">
        <f>1185900+275</f>
        <v>1186175</v>
      </c>
      <c r="G142" s="9">
        <f t="shared" si="2"/>
        <v>-2328794</v>
      </c>
    </row>
    <row r="143" spans="1:7" x14ac:dyDescent="0.2">
      <c r="A143" s="12">
        <v>44308</v>
      </c>
      <c r="C143" s="2" t="s">
        <v>104</v>
      </c>
      <c r="D143" s="1" t="s">
        <v>9</v>
      </c>
      <c r="F143" s="3">
        <f>500000+275</f>
        <v>500275</v>
      </c>
      <c r="G143" s="9">
        <f t="shared" si="2"/>
        <v>-2829069</v>
      </c>
    </row>
    <row r="144" spans="1:7" x14ac:dyDescent="0.2">
      <c r="A144" s="12">
        <v>44309</v>
      </c>
      <c r="C144" s="2" t="s">
        <v>108</v>
      </c>
      <c r="D144" s="1" t="s">
        <v>9</v>
      </c>
      <c r="F144" s="3">
        <f>755250</f>
        <v>755250</v>
      </c>
      <c r="G144" s="9">
        <f t="shared" si="2"/>
        <v>-3584319</v>
      </c>
    </row>
    <row r="145" spans="1:7" x14ac:dyDescent="0.2">
      <c r="A145" s="12">
        <v>44309</v>
      </c>
      <c r="C145" s="2" t="s">
        <v>114</v>
      </c>
      <c r="D145" s="1" t="s">
        <v>9</v>
      </c>
      <c r="F145" s="3">
        <f>1883371+6600</f>
        <v>1889971</v>
      </c>
      <c r="G145" s="9">
        <f t="shared" si="2"/>
        <v>-5474290</v>
      </c>
    </row>
    <row r="146" spans="1:7" x14ac:dyDescent="0.2">
      <c r="A146" s="12">
        <v>44310</v>
      </c>
      <c r="C146" s="2" t="s">
        <v>110</v>
      </c>
      <c r="D146" s="1" t="s">
        <v>9</v>
      </c>
      <c r="E146" s="3">
        <f>929580+311343</f>
        <v>1240923</v>
      </c>
      <c r="G146" s="9">
        <f t="shared" si="2"/>
        <v>-4233367</v>
      </c>
    </row>
    <row r="147" spans="1:7" x14ac:dyDescent="0.2">
      <c r="A147" s="12">
        <v>44312</v>
      </c>
      <c r="C147" s="2" t="s">
        <v>109</v>
      </c>
      <c r="D147" s="1" t="s">
        <v>9</v>
      </c>
      <c r="F147" s="3">
        <f>5974235</f>
        <v>5974235</v>
      </c>
      <c r="G147" s="9">
        <f t="shared" si="2"/>
        <v>-10207602</v>
      </c>
    </row>
    <row r="148" spans="1:7" x14ac:dyDescent="0.2">
      <c r="A148" s="12">
        <v>44312</v>
      </c>
      <c r="C148" s="2" t="s">
        <v>111</v>
      </c>
      <c r="D148" s="1" t="s">
        <v>9</v>
      </c>
      <c r="E148" s="3">
        <f>72216+416835+9027</f>
        <v>498078</v>
      </c>
      <c r="G148" s="9">
        <f t="shared" si="2"/>
        <v>-9709524</v>
      </c>
    </row>
    <row r="149" spans="1:7" x14ac:dyDescent="0.2">
      <c r="A149" s="12">
        <v>44312</v>
      </c>
      <c r="C149" s="2" t="s">
        <v>112</v>
      </c>
      <c r="D149" s="1" t="s">
        <v>9</v>
      </c>
      <c r="E149" s="3">
        <f>30872+153990+14160</f>
        <v>199022</v>
      </c>
      <c r="G149" s="9">
        <f t="shared" si="2"/>
        <v>-9510502</v>
      </c>
    </row>
    <row r="150" spans="1:7" x14ac:dyDescent="0.2">
      <c r="A150" s="12">
        <v>44312</v>
      </c>
      <c r="C150" s="2" t="s">
        <v>27</v>
      </c>
      <c r="D150" s="1" t="s">
        <v>9</v>
      </c>
      <c r="F150" s="3">
        <v>500000</v>
      </c>
      <c r="G150" s="9">
        <f t="shared" si="2"/>
        <v>-10010502</v>
      </c>
    </row>
    <row r="151" spans="1:7" x14ac:dyDescent="0.2">
      <c r="A151" s="12">
        <v>44313</v>
      </c>
      <c r="C151" s="2" t="s">
        <v>115</v>
      </c>
      <c r="D151" s="1" t="s">
        <v>9</v>
      </c>
      <c r="E151" s="3">
        <v>3348776</v>
      </c>
      <c r="G151" s="9">
        <f t="shared" si="2"/>
        <v>-6661726</v>
      </c>
    </row>
    <row r="152" spans="1:7" x14ac:dyDescent="0.2">
      <c r="A152" s="12">
        <v>44313</v>
      </c>
      <c r="C152" s="2" t="s">
        <v>35</v>
      </c>
      <c r="D152" s="1" t="s">
        <v>9</v>
      </c>
      <c r="F152" s="3">
        <v>6600</v>
      </c>
      <c r="G152" s="9">
        <f t="shared" si="2"/>
        <v>-6668326</v>
      </c>
    </row>
    <row r="153" spans="1:7" x14ac:dyDescent="0.2">
      <c r="A153" s="12">
        <v>44314</v>
      </c>
      <c r="C153" s="2" t="s">
        <v>35</v>
      </c>
      <c r="D153" s="1" t="s">
        <v>9</v>
      </c>
      <c r="F153" s="3">
        <v>6600</v>
      </c>
      <c r="G153" s="9">
        <f t="shared" si="2"/>
        <v>-6674926</v>
      </c>
    </row>
    <row r="154" spans="1:7" x14ac:dyDescent="0.2">
      <c r="A154" s="12">
        <v>44314</v>
      </c>
      <c r="C154" s="2" t="s">
        <v>116</v>
      </c>
      <c r="D154" s="1" t="s">
        <v>9</v>
      </c>
      <c r="E154" s="3">
        <v>649831</v>
      </c>
      <c r="G154" s="9">
        <f t="shared" si="2"/>
        <v>-6025095</v>
      </c>
    </row>
    <row r="155" spans="1:7" x14ac:dyDescent="0.2">
      <c r="A155" s="12">
        <v>44314</v>
      </c>
      <c r="C155" s="2" t="s">
        <v>45</v>
      </c>
      <c r="D155" s="1" t="s">
        <v>9</v>
      </c>
      <c r="E155" s="3">
        <v>7080</v>
      </c>
      <c r="G155" s="9">
        <f t="shared" si="2"/>
        <v>-6018015</v>
      </c>
    </row>
    <row r="156" spans="1:7" x14ac:dyDescent="0.2">
      <c r="A156" s="12">
        <v>44316</v>
      </c>
      <c r="C156" s="2" t="s">
        <v>118</v>
      </c>
      <c r="D156" s="1" t="s">
        <v>9</v>
      </c>
      <c r="F156" s="3">
        <v>2096433</v>
      </c>
      <c r="G156" s="9">
        <f t="shared" si="2"/>
        <v>-8114448</v>
      </c>
    </row>
    <row r="157" spans="1:7" x14ac:dyDescent="0.2">
      <c r="A157" s="12">
        <v>44316</v>
      </c>
      <c r="C157" s="2" t="s">
        <v>34</v>
      </c>
      <c r="D157" s="1" t="s">
        <v>9</v>
      </c>
      <c r="F157" s="3">
        <v>1125</v>
      </c>
      <c r="G157" s="9">
        <f t="shared" si="2"/>
        <v>-8115573</v>
      </c>
    </row>
    <row r="158" spans="1:7" x14ac:dyDescent="0.2">
      <c r="A158" s="13">
        <v>44316</v>
      </c>
      <c r="B158" s="14"/>
      <c r="C158" s="15" t="s">
        <v>84</v>
      </c>
      <c r="D158" s="14" t="s">
        <v>9</v>
      </c>
      <c r="E158" s="16"/>
      <c r="F158" s="16">
        <v>487589</v>
      </c>
      <c r="G158" s="9">
        <f t="shared" si="2"/>
        <v>-8603162</v>
      </c>
    </row>
    <row r="159" spans="1:7" x14ac:dyDescent="0.2">
      <c r="A159" s="12">
        <v>44316</v>
      </c>
      <c r="C159" s="2" t="s">
        <v>119</v>
      </c>
      <c r="D159" s="1" t="s">
        <v>9</v>
      </c>
      <c r="F159" s="3">
        <v>155667</v>
      </c>
      <c r="G159" s="9">
        <f t="shared" ref="G159:G227" si="3">G158+E159-F159</f>
        <v>-8758829</v>
      </c>
    </row>
    <row r="160" spans="1:7" ht="15.75" x14ac:dyDescent="0.25">
      <c r="A160" s="10" t="s">
        <v>120</v>
      </c>
    </row>
    <row r="161" spans="1:9" x14ac:dyDescent="0.2">
      <c r="A161" s="11" t="s">
        <v>2</v>
      </c>
      <c r="B161" s="5" t="s">
        <v>1</v>
      </c>
      <c r="C161" s="5" t="s">
        <v>3</v>
      </c>
      <c r="D161" s="5"/>
      <c r="E161" s="7" t="s">
        <v>4</v>
      </c>
      <c r="F161" s="7" t="s">
        <v>6</v>
      </c>
      <c r="G161" s="8" t="s">
        <v>5</v>
      </c>
    </row>
    <row r="162" spans="1:9" x14ac:dyDescent="0.2">
      <c r="A162" s="17">
        <v>44322</v>
      </c>
      <c r="B162" s="5"/>
      <c r="C162" s="18" t="s">
        <v>133</v>
      </c>
      <c r="D162" s="1" t="s">
        <v>9</v>
      </c>
      <c r="E162" s="3">
        <f>54459+34147+89975</f>
        <v>178581</v>
      </c>
      <c r="F162" s="7"/>
      <c r="G162" s="9">
        <f>G159+E162-F162</f>
        <v>-8580248</v>
      </c>
    </row>
    <row r="163" spans="1:9" x14ac:dyDescent="0.2">
      <c r="A163" s="17">
        <v>44322</v>
      </c>
      <c r="B163" s="5"/>
      <c r="C163" s="18" t="s">
        <v>134</v>
      </c>
      <c r="D163" s="1" t="s">
        <v>9</v>
      </c>
      <c r="E163" s="3">
        <f>192215+297891+40363</f>
        <v>530469</v>
      </c>
      <c r="F163" s="7"/>
      <c r="G163" s="9">
        <f t="shared" si="3"/>
        <v>-8049779</v>
      </c>
    </row>
    <row r="164" spans="1:9" x14ac:dyDescent="0.2">
      <c r="A164" s="12">
        <v>44323</v>
      </c>
      <c r="C164" s="2" t="s">
        <v>18</v>
      </c>
      <c r="D164" s="1" t="s">
        <v>9</v>
      </c>
      <c r="E164" s="3">
        <v>74142</v>
      </c>
      <c r="G164" s="9">
        <f t="shared" si="3"/>
        <v>-7975637</v>
      </c>
    </row>
    <row r="165" spans="1:9" x14ac:dyDescent="0.2">
      <c r="A165" s="12">
        <v>44323</v>
      </c>
      <c r="C165" s="2" t="s">
        <v>18</v>
      </c>
      <c r="D165" s="1" t="s">
        <v>9</v>
      </c>
      <c r="E165" s="3">
        <v>9027</v>
      </c>
      <c r="G165" s="9">
        <f t="shared" si="3"/>
        <v>-7966610</v>
      </c>
    </row>
    <row r="166" spans="1:9" x14ac:dyDescent="0.2">
      <c r="A166" s="12">
        <v>44326</v>
      </c>
      <c r="C166" s="2" t="s">
        <v>49</v>
      </c>
      <c r="D166" s="1" t="s">
        <v>9</v>
      </c>
      <c r="F166" s="3">
        <f>500000</f>
        <v>500000</v>
      </c>
      <c r="G166" s="9">
        <f t="shared" si="3"/>
        <v>-8466610</v>
      </c>
    </row>
    <row r="167" spans="1:9" x14ac:dyDescent="0.2">
      <c r="A167" s="12">
        <v>44326</v>
      </c>
      <c r="C167" s="2" t="s">
        <v>128</v>
      </c>
      <c r="D167" s="1" t="s">
        <v>9</v>
      </c>
      <c r="F167" s="3">
        <f>456360</f>
        <v>456360</v>
      </c>
      <c r="G167" s="9">
        <f t="shared" si="3"/>
        <v>-8922970</v>
      </c>
    </row>
    <row r="168" spans="1:9" x14ac:dyDescent="0.2">
      <c r="A168" s="12">
        <v>44326</v>
      </c>
      <c r="C168" s="2" t="s">
        <v>104</v>
      </c>
      <c r="D168" s="1" t="s">
        <v>9</v>
      </c>
      <c r="F168" s="3">
        <f>500000+275</f>
        <v>500275</v>
      </c>
      <c r="G168" s="9">
        <f t="shared" si="3"/>
        <v>-9423245</v>
      </c>
    </row>
    <row r="169" spans="1:9" x14ac:dyDescent="0.2">
      <c r="A169" s="12">
        <v>44326</v>
      </c>
      <c r="C169" s="2" t="s">
        <v>129</v>
      </c>
      <c r="D169" s="1" t="s">
        <v>9</v>
      </c>
      <c r="F169" s="3">
        <f>1800000</f>
        <v>1800000</v>
      </c>
      <c r="G169" s="9">
        <f t="shared" si="3"/>
        <v>-11223245</v>
      </c>
    </row>
    <row r="170" spans="1:9" x14ac:dyDescent="0.2">
      <c r="A170" s="12">
        <v>44326</v>
      </c>
      <c r="C170" s="2" t="s">
        <v>130</v>
      </c>
      <c r="D170" s="1" t="s">
        <v>9</v>
      </c>
      <c r="F170" s="3">
        <f>644448+275</f>
        <v>644723</v>
      </c>
      <c r="G170" s="9">
        <f t="shared" si="3"/>
        <v>-11867968</v>
      </c>
    </row>
    <row r="171" spans="1:9" x14ac:dyDescent="0.2">
      <c r="A171" s="12">
        <v>44326</v>
      </c>
      <c r="C171" s="2" t="s">
        <v>131</v>
      </c>
      <c r="D171" s="1" t="s">
        <v>9</v>
      </c>
      <c r="F171" s="3">
        <f>1167382+275</f>
        <v>1167657</v>
      </c>
      <c r="G171" s="9">
        <f t="shared" si="3"/>
        <v>-13035625</v>
      </c>
    </row>
    <row r="172" spans="1:9" x14ac:dyDescent="0.2">
      <c r="A172" s="12">
        <v>44326</v>
      </c>
      <c r="C172" s="2" t="s">
        <v>132</v>
      </c>
      <c r="D172" s="1" t="s">
        <v>9</v>
      </c>
      <c r="F172" s="3">
        <f>172333+275</f>
        <v>172608</v>
      </c>
      <c r="G172" s="9">
        <f t="shared" si="3"/>
        <v>-13208233</v>
      </c>
    </row>
    <row r="173" spans="1:9" x14ac:dyDescent="0.2">
      <c r="A173" s="12">
        <v>44326</v>
      </c>
      <c r="C173" s="2" t="s">
        <v>137</v>
      </c>
      <c r="D173" s="1" t="s">
        <v>9</v>
      </c>
      <c r="E173" s="3">
        <v>94730</v>
      </c>
      <c r="G173" s="9">
        <f t="shared" si="3"/>
        <v>-13113503</v>
      </c>
    </row>
    <row r="174" spans="1:9" x14ac:dyDescent="0.2">
      <c r="A174" s="12">
        <v>44326</v>
      </c>
      <c r="B174" s="1" t="s">
        <v>138</v>
      </c>
      <c r="C174" s="2" t="s">
        <v>149</v>
      </c>
      <c r="D174" s="1" t="s">
        <v>9</v>
      </c>
      <c r="F174" s="3">
        <v>685604</v>
      </c>
      <c r="G174" s="9">
        <f t="shared" si="3"/>
        <v>-13799107</v>
      </c>
    </row>
    <row r="175" spans="1:9" x14ac:dyDescent="0.2">
      <c r="A175" s="12">
        <v>44326</v>
      </c>
      <c r="C175" s="2" t="s">
        <v>139</v>
      </c>
      <c r="D175" s="1" t="s">
        <v>9</v>
      </c>
      <c r="F175" s="3">
        <v>10000</v>
      </c>
      <c r="G175" s="9">
        <f t="shared" si="3"/>
        <v>-13809107</v>
      </c>
      <c r="I175" s="9">
        <f>I174-G175</f>
        <v>13809107</v>
      </c>
    </row>
    <row r="176" spans="1:9" x14ac:dyDescent="0.2">
      <c r="A176" s="12">
        <v>44327</v>
      </c>
      <c r="C176" s="18" t="s">
        <v>135</v>
      </c>
      <c r="D176" s="1" t="s">
        <v>9</v>
      </c>
      <c r="E176" s="3">
        <f>711696+67366+147532+213349</f>
        <v>1139943</v>
      </c>
      <c r="G176" s="9">
        <f t="shared" si="3"/>
        <v>-12669164</v>
      </c>
    </row>
    <row r="177" spans="1:7" x14ac:dyDescent="0.2">
      <c r="A177" s="12">
        <v>44327</v>
      </c>
      <c r="C177" s="18" t="s">
        <v>136</v>
      </c>
      <c r="D177" s="1" t="s">
        <v>9</v>
      </c>
      <c r="E177" s="3">
        <f>284392+306417+312606</f>
        <v>903415</v>
      </c>
      <c r="G177" s="9">
        <f t="shared" si="3"/>
        <v>-11765749</v>
      </c>
    </row>
    <row r="178" spans="1:7" x14ac:dyDescent="0.2">
      <c r="A178" s="12">
        <v>44330</v>
      </c>
      <c r="C178" s="2" t="s">
        <v>140</v>
      </c>
      <c r="D178" s="1" t="s">
        <v>9</v>
      </c>
      <c r="F178" s="3">
        <f>2104182</f>
        <v>2104182</v>
      </c>
      <c r="G178" s="9">
        <f t="shared" si="3"/>
        <v>-13869931</v>
      </c>
    </row>
    <row r="179" spans="1:7" x14ac:dyDescent="0.2">
      <c r="A179" s="20">
        <v>44330</v>
      </c>
      <c r="B179" s="21" t="s">
        <v>141</v>
      </c>
      <c r="C179" s="22" t="s">
        <v>154</v>
      </c>
      <c r="D179" s="21" t="s">
        <v>9</v>
      </c>
      <c r="E179" s="23"/>
      <c r="F179" s="23">
        <v>265735</v>
      </c>
      <c r="G179" s="9">
        <f t="shared" si="3"/>
        <v>-14135666</v>
      </c>
    </row>
    <row r="180" spans="1:7" x14ac:dyDescent="0.2">
      <c r="A180" s="12">
        <v>44330</v>
      </c>
      <c r="C180" s="2" t="s">
        <v>53</v>
      </c>
      <c r="D180" s="1" t="s">
        <v>9</v>
      </c>
      <c r="F180" s="3">
        <v>100</v>
      </c>
      <c r="G180" s="9">
        <f t="shared" si="3"/>
        <v>-14135766</v>
      </c>
    </row>
    <row r="181" spans="1:7" x14ac:dyDescent="0.2">
      <c r="A181" s="12">
        <v>44330</v>
      </c>
      <c r="C181" s="2" t="s">
        <v>142</v>
      </c>
      <c r="D181" s="1" t="s">
        <v>9</v>
      </c>
      <c r="E181" s="3">
        <v>2000000</v>
      </c>
      <c r="G181" s="9">
        <f t="shared" si="3"/>
        <v>-12135766</v>
      </c>
    </row>
    <row r="182" spans="1:7" x14ac:dyDescent="0.2">
      <c r="A182" s="12">
        <v>44333</v>
      </c>
      <c r="C182" s="2" t="s">
        <v>35</v>
      </c>
      <c r="D182" s="1" t="s">
        <v>9</v>
      </c>
      <c r="F182" s="3">
        <v>6600</v>
      </c>
      <c r="G182" s="9">
        <f t="shared" si="3"/>
        <v>-12142366</v>
      </c>
    </row>
    <row r="183" spans="1:7" x14ac:dyDescent="0.2">
      <c r="A183" s="12">
        <v>44333</v>
      </c>
      <c r="C183" s="2" t="s">
        <v>145</v>
      </c>
      <c r="D183" s="1" t="s">
        <v>9</v>
      </c>
      <c r="E183" s="3">
        <f>207271+119043+208123+34073</f>
        <v>568510</v>
      </c>
      <c r="G183" s="9">
        <f t="shared" si="3"/>
        <v>-11573856</v>
      </c>
    </row>
    <row r="184" spans="1:7" x14ac:dyDescent="0.2">
      <c r="A184" s="12">
        <v>44334</v>
      </c>
      <c r="B184" s="1" t="s">
        <v>143</v>
      </c>
      <c r="C184" s="2" t="s">
        <v>150</v>
      </c>
      <c r="D184" s="1" t="s">
        <v>9</v>
      </c>
      <c r="F184" s="3">
        <v>330000</v>
      </c>
      <c r="G184" s="9">
        <f t="shared" si="3"/>
        <v>-11903856</v>
      </c>
    </row>
    <row r="185" spans="1:7" x14ac:dyDescent="0.2">
      <c r="A185" s="12">
        <v>44334</v>
      </c>
      <c r="C185" s="2" t="s">
        <v>144</v>
      </c>
      <c r="D185" s="1" t="s">
        <v>9</v>
      </c>
      <c r="E185" s="3">
        <v>70800</v>
      </c>
      <c r="G185" s="9">
        <f t="shared" si="3"/>
        <v>-11833056</v>
      </c>
    </row>
    <row r="186" spans="1:7" x14ac:dyDescent="0.2">
      <c r="A186" s="12">
        <v>44335</v>
      </c>
      <c r="C186" s="18" t="s">
        <v>146</v>
      </c>
      <c r="D186" s="1" t="s">
        <v>9</v>
      </c>
      <c r="E186" s="3">
        <v>105244</v>
      </c>
      <c r="G186" s="9">
        <f t="shared" si="3"/>
        <v>-11727812</v>
      </c>
    </row>
    <row r="187" spans="1:7" x14ac:dyDescent="0.2">
      <c r="A187" s="12">
        <v>44335</v>
      </c>
      <c r="C187" s="18" t="s">
        <v>147</v>
      </c>
      <c r="D187" s="1" t="s">
        <v>9</v>
      </c>
      <c r="E187" s="3">
        <f>144113+43159</f>
        <v>187272</v>
      </c>
      <c r="G187" s="9">
        <f t="shared" si="3"/>
        <v>-11540540</v>
      </c>
    </row>
    <row r="188" spans="1:7" x14ac:dyDescent="0.2">
      <c r="A188" s="12">
        <v>44335</v>
      </c>
      <c r="C188" s="18" t="s">
        <v>148</v>
      </c>
      <c r="D188" s="1" t="s">
        <v>9</v>
      </c>
      <c r="E188" s="3">
        <v>19308</v>
      </c>
      <c r="G188" s="9">
        <f t="shared" si="3"/>
        <v>-11521232</v>
      </c>
    </row>
    <row r="189" spans="1:7" x14ac:dyDescent="0.2">
      <c r="A189" s="12">
        <v>44335</v>
      </c>
      <c r="C189" s="18" t="s">
        <v>115</v>
      </c>
      <c r="D189" s="1" t="s">
        <v>9</v>
      </c>
      <c r="E189" s="3">
        <v>34515</v>
      </c>
      <c r="G189" s="9">
        <f t="shared" si="3"/>
        <v>-11486717</v>
      </c>
    </row>
    <row r="190" spans="1:7" x14ac:dyDescent="0.2">
      <c r="A190" s="13">
        <v>44336</v>
      </c>
      <c r="B190" s="14"/>
      <c r="C190" s="19" t="s">
        <v>38</v>
      </c>
      <c r="D190" s="14" t="s">
        <v>9</v>
      </c>
      <c r="E190" s="16"/>
      <c r="F190" s="16">
        <f>2000+200</f>
        <v>2200</v>
      </c>
      <c r="G190" s="9">
        <f t="shared" si="3"/>
        <v>-11488917</v>
      </c>
    </row>
    <row r="191" spans="1:7" x14ac:dyDescent="0.2">
      <c r="A191" s="12">
        <v>44337</v>
      </c>
      <c r="B191" s="1" t="s">
        <v>151</v>
      </c>
      <c r="C191" s="2" t="s">
        <v>8</v>
      </c>
      <c r="D191" s="1" t="s">
        <v>9</v>
      </c>
      <c r="F191" s="3">
        <v>700000</v>
      </c>
      <c r="G191" s="9">
        <f t="shared" si="3"/>
        <v>-12188917</v>
      </c>
    </row>
    <row r="192" spans="1:7" x14ac:dyDescent="0.2">
      <c r="A192" s="12">
        <v>44341</v>
      </c>
      <c r="C192" s="2" t="s">
        <v>27</v>
      </c>
      <c r="D192" s="1" t="s">
        <v>9</v>
      </c>
      <c r="F192" s="3">
        <v>500000</v>
      </c>
      <c r="G192" s="9">
        <f t="shared" si="3"/>
        <v>-12688917</v>
      </c>
    </row>
    <row r="193" spans="1:7" x14ac:dyDescent="0.2">
      <c r="A193" s="12">
        <v>44341</v>
      </c>
      <c r="C193" s="18" t="s">
        <v>152</v>
      </c>
      <c r="D193" s="1" t="s">
        <v>9</v>
      </c>
      <c r="E193" s="3">
        <v>221964</v>
      </c>
      <c r="G193" s="9">
        <f t="shared" si="3"/>
        <v>-12466953</v>
      </c>
    </row>
    <row r="194" spans="1:7" x14ac:dyDescent="0.2">
      <c r="A194" s="12">
        <v>44341</v>
      </c>
      <c r="C194" s="18" t="s">
        <v>153</v>
      </c>
      <c r="D194" s="1" t="s">
        <v>9</v>
      </c>
      <c r="E194" s="3">
        <f>944000+154072+152220</f>
        <v>1250292</v>
      </c>
      <c r="G194" s="9">
        <f t="shared" si="3"/>
        <v>-11216661</v>
      </c>
    </row>
    <row r="195" spans="1:7" x14ac:dyDescent="0.2">
      <c r="A195" s="13">
        <v>44342</v>
      </c>
      <c r="B195" s="14"/>
      <c r="C195" s="19" t="s">
        <v>38</v>
      </c>
      <c r="D195" s="14" t="s">
        <v>9</v>
      </c>
      <c r="E195" s="16"/>
      <c r="F195" s="16">
        <v>8800</v>
      </c>
      <c r="G195" s="9">
        <f t="shared" si="3"/>
        <v>-11225461</v>
      </c>
    </row>
    <row r="196" spans="1:7" x14ac:dyDescent="0.2">
      <c r="A196" s="12">
        <v>44344</v>
      </c>
      <c r="C196" s="2" t="s">
        <v>165</v>
      </c>
      <c r="D196" s="1" t="s">
        <v>9</v>
      </c>
      <c r="E196" s="3">
        <v>17648</v>
      </c>
      <c r="G196" s="9">
        <f t="shared" si="3"/>
        <v>-11207813</v>
      </c>
    </row>
    <row r="197" spans="1:7" x14ac:dyDescent="0.2">
      <c r="A197" s="12">
        <v>44347</v>
      </c>
      <c r="C197" s="18" t="s">
        <v>155</v>
      </c>
      <c r="D197" s="1" t="s">
        <v>9</v>
      </c>
      <c r="E197" s="3">
        <f>936802+51751</f>
        <v>988553</v>
      </c>
      <c r="G197" s="9">
        <f t="shared" si="3"/>
        <v>-10219260</v>
      </c>
    </row>
    <row r="198" spans="1:7" x14ac:dyDescent="0.2">
      <c r="A198" s="12">
        <v>44347</v>
      </c>
      <c r="C198" s="2" t="s">
        <v>156</v>
      </c>
      <c r="D198" s="1" t="s">
        <v>9</v>
      </c>
      <c r="F198" s="3">
        <v>2054893</v>
      </c>
      <c r="G198" s="9">
        <f t="shared" si="3"/>
        <v>-12274153</v>
      </c>
    </row>
    <row r="199" spans="1:7" x14ac:dyDescent="0.2">
      <c r="A199" s="12">
        <v>44347</v>
      </c>
      <c r="C199" s="2" t="s">
        <v>34</v>
      </c>
      <c r="D199" s="1" t="s">
        <v>9</v>
      </c>
      <c r="F199" s="3">
        <v>1125</v>
      </c>
      <c r="G199" s="9">
        <f t="shared" si="3"/>
        <v>-12275278</v>
      </c>
    </row>
    <row r="200" spans="1:7" x14ac:dyDescent="0.2">
      <c r="A200" s="12">
        <v>44347</v>
      </c>
      <c r="C200" s="2" t="s">
        <v>164</v>
      </c>
      <c r="D200" s="1" t="s">
        <v>9</v>
      </c>
      <c r="F200" s="3">
        <v>156200</v>
      </c>
      <c r="G200" s="9">
        <f t="shared" si="3"/>
        <v>-12431478</v>
      </c>
    </row>
    <row r="201" spans="1:7" x14ac:dyDescent="0.2">
      <c r="A201" s="12">
        <v>44347</v>
      </c>
      <c r="C201" s="2" t="s">
        <v>52</v>
      </c>
      <c r="D201" s="1" t="s">
        <v>9</v>
      </c>
      <c r="E201" s="3">
        <v>1000000</v>
      </c>
      <c r="G201" s="9">
        <f t="shared" si="3"/>
        <v>-11431478</v>
      </c>
    </row>
    <row r="202" spans="1:7" x14ac:dyDescent="0.2">
      <c r="A202" s="12">
        <v>44347</v>
      </c>
      <c r="C202" s="2" t="s">
        <v>53</v>
      </c>
      <c r="D202" s="1" t="s">
        <v>9</v>
      </c>
      <c r="F202" s="3">
        <v>100</v>
      </c>
      <c r="G202" s="9">
        <f t="shared" si="3"/>
        <v>-11431578</v>
      </c>
    </row>
    <row r="203" spans="1:7" ht="15.75" x14ac:dyDescent="0.25">
      <c r="A203" s="10" t="s">
        <v>169</v>
      </c>
    </row>
    <row r="204" spans="1:7" x14ac:dyDescent="0.2">
      <c r="A204" s="11" t="s">
        <v>2</v>
      </c>
      <c r="B204" s="5" t="s">
        <v>1</v>
      </c>
      <c r="C204" s="5" t="s">
        <v>3</v>
      </c>
      <c r="D204" s="5"/>
      <c r="E204" s="7" t="s">
        <v>4</v>
      </c>
      <c r="F204" s="7" t="s">
        <v>6</v>
      </c>
      <c r="G204" s="8" t="s">
        <v>5</v>
      </c>
    </row>
    <row r="205" spans="1:7" x14ac:dyDescent="0.2">
      <c r="A205" s="12">
        <v>44348</v>
      </c>
      <c r="C205" s="18" t="s">
        <v>166</v>
      </c>
      <c r="D205" s="1" t="s">
        <v>9</v>
      </c>
      <c r="E205" s="3">
        <f>919267+108371</f>
        <v>1027638</v>
      </c>
      <c r="G205" s="9">
        <f>G202+E205-F205</f>
        <v>-10403940</v>
      </c>
    </row>
    <row r="206" spans="1:7" x14ac:dyDescent="0.2">
      <c r="A206" s="12">
        <v>44348</v>
      </c>
      <c r="C206" s="18" t="s">
        <v>167</v>
      </c>
      <c r="D206" s="1" t="s">
        <v>9</v>
      </c>
      <c r="E206" s="3">
        <v>623040</v>
      </c>
      <c r="G206" s="9">
        <f t="shared" si="3"/>
        <v>-9780900</v>
      </c>
    </row>
    <row r="207" spans="1:7" x14ac:dyDescent="0.2">
      <c r="A207" s="13">
        <v>44350</v>
      </c>
      <c r="B207" s="14"/>
      <c r="C207" s="19" t="s">
        <v>38</v>
      </c>
      <c r="D207" s="14" t="s">
        <v>9</v>
      </c>
      <c r="E207" s="16"/>
      <c r="F207" s="16">
        <v>2200</v>
      </c>
      <c r="G207" s="9">
        <f t="shared" si="3"/>
        <v>-9783100</v>
      </c>
    </row>
    <row r="208" spans="1:7" x14ac:dyDescent="0.2">
      <c r="A208" s="12">
        <v>44350</v>
      </c>
      <c r="C208" s="2" t="s">
        <v>168</v>
      </c>
      <c r="D208" s="1" t="s">
        <v>9</v>
      </c>
      <c r="E208" s="3">
        <v>61950</v>
      </c>
      <c r="G208" s="9">
        <f t="shared" si="3"/>
        <v>-9721150</v>
      </c>
    </row>
    <row r="209" spans="1:7" x14ac:dyDescent="0.2">
      <c r="A209" s="12">
        <v>44350</v>
      </c>
      <c r="C209" s="2" t="s">
        <v>168</v>
      </c>
      <c r="D209" s="1" t="s">
        <v>9</v>
      </c>
      <c r="E209" s="3">
        <v>741350</v>
      </c>
      <c r="G209" s="9">
        <f t="shared" si="3"/>
        <v>-8979800</v>
      </c>
    </row>
    <row r="210" spans="1:7" x14ac:dyDescent="0.2">
      <c r="A210" s="20">
        <v>44351</v>
      </c>
      <c r="B210" s="21"/>
      <c r="C210" s="22" t="s">
        <v>177</v>
      </c>
      <c r="D210" s="21" t="s">
        <v>9</v>
      </c>
      <c r="E210" s="23">
        <f>36068+78473</f>
        <v>114541</v>
      </c>
      <c r="F210" s="23"/>
      <c r="G210" s="9">
        <f t="shared" si="3"/>
        <v>-8865259</v>
      </c>
    </row>
    <row r="211" spans="1:7" x14ac:dyDescent="0.2">
      <c r="A211" s="20">
        <v>44351</v>
      </c>
      <c r="B211" s="21"/>
      <c r="C211" s="22" t="s">
        <v>175</v>
      </c>
      <c r="D211" s="21" t="s">
        <v>9</v>
      </c>
      <c r="E211" s="23">
        <f>114254+33644</f>
        <v>147898</v>
      </c>
      <c r="F211" s="23"/>
      <c r="G211" s="9">
        <f t="shared" si="3"/>
        <v>-8717361</v>
      </c>
    </row>
    <row r="212" spans="1:7" x14ac:dyDescent="0.2">
      <c r="A212" s="20">
        <v>44351</v>
      </c>
      <c r="B212" s="21"/>
      <c r="C212" s="22" t="s">
        <v>176</v>
      </c>
      <c r="D212" s="21" t="s">
        <v>9</v>
      </c>
      <c r="E212" s="23">
        <f>16550+18710+84960</f>
        <v>120220</v>
      </c>
      <c r="F212" s="23"/>
      <c r="G212" s="9">
        <f t="shared" si="3"/>
        <v>-8597141</v>
      </c>
    </row>
    <row r="213" spans="1:7" x14ac:dyDescent="0.2">
      <c r="A213" s="12">
        <v>44354</v>
      </c>
      <c r="C213" s="2" t="s">
        <v>170</v>
      </c>
      <c r="D213" s="1" t="s">
        <v>9</v>
      </c>
      <c r="F213" s="3">
        <f>3343980</f>
        <v>3343980</v>
      </c>
      <c r="G213" s="9">
        <f t="shared" si="3"/>
        <v>-11941121</v>
      </c>
    </row>
    <row r="214" spans="1:7" x14ac:dyDescent="0.2">
      <c r="A214" s="13">
        <v>44355</v>
      </c>
      <c r="B214" s="14"/>
      <c r="C214" s="15" t="s">
        <v>38</v>
      </c>
      <c r="D214" s="14" t="s">
        <v>9</v>
      </c>
      <c r="E214" s="16"/>
      <c r="F214" s="16">
        <v>8800</v>
      </c>
      <c r="G214" s="9">
        <f t="shared" si="3"/>
        <v>-11949921</v>
      </c>
    </row>
    <row r="215" spans="1:7" x14ac:dyDescent="0.2">
      <c r="A215" s="20">
        <v>44355</v>
      </c>
      <c r="B215" s="21" t="s">
        <v>171</v>
      </c>
      <c r="C215" s="22" t="s">
        <v>172</v>
      </c>
      <c r="D215" s="21" t="s">
        <v>9</v>
      </c>
      <c r="E215" s="23"/>
      <c r="F215" s="23">
        <v>125000</v>
      </c>
      <c r="G215" s="9">
        <f t="shared" si="3"/>
        <v>-12074921</v>
      </c>
    </row>
    <row r="216" spans="1:7" x14ac:dyDescent="0.2">
      <c r="A216" s="12">
        <v>44355</v>
      </c>
      <c r="C216" s="2" t="s">
        <v>15</v>
      </c>
      <c r="D216" s="1" t="s">
        <v>9</v>
      </c>
      <c r="E216" s="3">
        <v>1379075</v>
      </c>
      <c r="G216" s="9">
        <f t="shared" si="3"/>
        <v>-10695846</v>
      </c>
    </row>
    <row r="217" spans="1:7" x14ac:dyDescent="0.2">
      <c r="A217" s="12">
        <v>44355</v>
      </c>
      <c r="C217" s="2" t="s">
        <v>21</v>
      </c>
      <c r="D217" s="1" t="s">
        <v>9</v>
      </c>
      <c r="E217" s="3">
        <v>90472</v>
      </c>
      <c r="G217" s="9">
        <f t="shared" si="3"/>
        <v>-10605374</v>
      </c>
    </row>
    <row r="218" spans="1:7" x14ac:dyDescent="0.2">
      <c r="A218" s="13">
        <v>44356</v>
      </c>
      <c r="B218" s="14"/>
      <c r="C218" s="15" t="s">
        <v>84</v>
      </c>
      <c r="D218" s="14" t="s">
        <v>9</v>
      </c>
      <c r="E218" s="16"/>
      <c r="F218" s="16">
        <v>487589</v>
      </c>
      <c r="G218" s="9">
        <f t="shared" si="3"/>
        <v>-11092963</v>
      </c>
    </row>
    <row r="219" spans="1:7" x14ac:dyDescent="0.2">
      <c r="A219" s="12">
        <v>44356</v>
      </c>
      <c r="C219" s="2" t="s">
        <v>52</v>
      </c>
      <c r="D219" s="1" t="s">
        <v>9</v>
      </c>
      <c r="E219" s="3">
        <v>700000</v>
      </c>
      <c r="G219" s="9">
        <f t="shared" si="3"/>
        <v>-10392963</v>
      </c>
    </row>
    <row r="220" spans="1:7" x14ac:dyDescent="0.2">
      <c r="A220" s="12">
        <v>44356</v>
      </c>
      <c r="C220" s="2" t="s">
        <v>53</v>
      </c>
      <c r="D220" s="1" t="s">
        <v>9</v>
      </c>
      <c r="F220" s="3">
        <v>100</v>
      </c>
      <c r="G220" s="9">
        <f t="shared" si="3"/>
        <v>-10393063</v>
      </c>
    </row>
    <row r="221" spans="1:7" x14ac:dyDescent="0.2">
      <c r="A221" s="12">
        <v>44357</v>
      </c>
      <c r="C221" s="2" t="s">
        <v>157</v>
      </c>
      <c r="D221" s="1" t="s">
        <v>9</v>
      </c>
      <c r="F221" s="3">
        <f>97738+275</f>
        <v>98013</v>
      </c>
      <c r="G221" s="9">
        <f t="shared" si="3"/>
        <v>-10491076</v>
      </c>
    </row>
    <row r="222" spans="1:7" x14ac:dyDescent="0.2">
      <c r="A222" s="12">
        <v>44357</v>
      </c>
      <c r="C222" s="2" t="s">
        <v>158</v>
      </c>
      <c r="D222" s="1" t="s">
        <v>9</v>
      </c>
      <c r="F222" s="3">
        <f>1472623+275</f>
        <v>1472898</v>
      </c>
      <c r="G222" s="9">
        <f t="shared" si="3"/>
        <v>-11963974</v>
      </c>
    </row>
    <row r="223" spans="1:7" x14ac:dyDescent="0.2">
      <c r="A223" s="12">
        <v>44357</v>
      </c>
      <c r="C223" s="2" t="s">
        <v>159</v>
      </c>
      <c r="D223" s="1" t="s">
        <v>9</v>
      </c>
      <c r="F223" s="3">
        <f>500000</f>
        <v>500000</v>
      </c>
      <c r="G223" s="9">
        <f t="shared" si="3"/>
        <v>-12463974</v>
      </c>
    </row>
    <row r="224" spans="1:7" x14ac:dyDescent="0.2">
      <c r="A224" s="12">
        <v>44357</v>
      </c>
      <c r="C224" s="2" t="s">
        <v>160</v>
      </c>
      <c r="D224" s="1" t="s">
        <v>9</v>
      </c>
      <c r="F224" s="3">
        <f>204657+275</f>
        <v>204932</v>
      </c>
      <c r="G224" s="9">
        <f t="shared" si="3"/>
        <v>-12668906</v>
      </c>
    </row>
    <row r="225" spans="1:7" x14ac:dyDescent="0.2">
      <c r="A225" s="12">
        <v>44357</v>
      </c>
      <c r="C225" s="2" t="s">
        <v>161</v>
      </c>
      <c r="D225" s="1" t="s">
        <v>9</v>
      </c>
      <c r="F225" s="3">
        <f>1156967+275</f>
        <v>1157242</v>
      </c>
      <c r="G225" s="9">
        <f t="shared" si="3"/>
        <v>-13826148</v>
      </c>
    </row>
    <row r="226" spans="1:7" x14ac:dyDescent="0.2">
      <c r="A226" s="12">
        <v>44357</v>
      </c>
      <c r="C226" s="2" t="s">
        <v>162</v>
      </c>
      <c r="D226" s="1" t="s">
        <v>9</v>
      </c>
      <c r="F226" s="3">
        <f>687265</f>
        <v>687265</v>
      </c>
      <c r="G226" s="9">
        <f t="shared" si="3"/>
        <v>-14513413</v>
      </c>
    </row>
    <row r="227" spans="1:7" x14ac:dyDescent="0.2">
      <c r="A227" s="12">
        <v>44357</v>
      </c>
      <c r="C227" s="2" t="s">
        <v>163</v>
      </c>
      <c r="D227" s="1" t="s">
        <v>9</v>
      </c>
      <c r="F227" s="3">
        <f>1800000</f>
        <v>1800000</v>
      </c>
      <c r="G227" s="9">
        <f t="shared" si="3"/>
        <v>-16313413</v>
      </c>
    </row>
    <row r="228" spans="1:7" x14ac:dyDescent="0.2">
      <c r="A228" s="12">
        <v>44357</v>
      </c>
      <c r="C228" s="18" t="s">
        <v>173</v>
      </c>
      <c r="D228" s="1" t="s">
        <v>9</v>
      </c>
      <c r="E228" s="3">
        <f>100536+11184+31860+33925</f>
        <v>177505</v>
      </c>
      <c r="G228" s="9">
        <f t="shared" ref="G228:G291" si="4">G227+E228-F228</f>
        <v>-16135908</v>
      </c>
    </row>
    <row r="229" spans="1:7" x14ac:dyDescent="0.2">
      <c r="A229" s="12">
        <v>44357</v>
      </c>
      <c r="C229" s="18" t="s">
        <v>174</v>
      </c>
      <c r="D229" s="1" t="s">
        <v>9</v>
      </c>
      <c r="E229" s="3">
        <f>323500+333798+350462</f>
        <v>1007760</v>
      </c>
      <c r="G229" s="9">
        <f t="shared" si="4"/>
        <v>-15128148</v>
      </c>
    </row>
    <row r="230" spans="1:7" x14ac:dyDescent="0.2">
      <c r="A230" s="12">
        <v>44358</v>
      </c>
      <c r="C230" s="18" t="s">
        <v>105</v>
      </c>
      <c r="D230" s="1" t="s">
        <v>9</v>
      </c>
      <c r="E230" s="3">
        <v>2480105</v>
      </c>
      <c r="G230" s="9">
        <f t="shared" si="4"/>
        <v>-12648043</v>
      </c>
    </row>
    <row r="231" spans="1:7" x14ac:dyDescent="0.2">
      <c r="A231" s="12">
        <v>44361</v>
      </c>
      <c r="C231" s="18" t="s">
        <v>61</v>
      </c>
      <c r="D231" s="1" t="s">
        <v>9</v>
      </c>
      <c r="E231" s="3">
        <v>182311</v>
      </c>
      <c r="G231" s="9">
        <f t="shared" si="4"/>
        <v>-12465732</v>
      </c>
    </row>
    <row r="232" spans="1:7" x14ac:dyDescent="0.2">
      <c r="A232" s="12">
        <v>44363</v>
      </c>
      <c r="C232" s="18" t="s">
        <v>180</v>
      </c>
      <c r="D232" s="1" t="s">
        <v>9</v>
      </c>
      <c r="E232" s="3">
        <f>71272+70753+6549+63130+340334</f>
        <v>552038</v>
      </c>
      <c r="G232" s="9">
        <f t="shared" si="4"/>
        <v>-11913694</v>
      </c>
    </row>
    <row r="233" spans="1:7" x14ac:dyDescent="0.2">
      <c r="A233" s="12">
        <v>44364</v>
      </c>
      <c r="C233" s="18" t="s">
        <v>179</v>
      </c>
      <c r="D233" s="1" t="s">
        <v>9</v>
      </c>
      <c r="F233" s="3">
        <v>1000000</v>
      </c>
      <c r="G233" s="9">
        <f t="shared" si="4"/>
        <v>-12913694</v>
      </c>
    </row>
    <row r="234" spans="1:7" x14ac:dyDescent="0.2">
      <c r="A234" s="12">
        <v>44364</v>
      </c>
      <c r="C234" s="18" t="s">
        <v>178</v>
      </c>
      <c r="D234" s="1" t="s">
        <v>9</v>
      </c>
      <c r="F234" s="3">
        <v>3300</v>
      </c>
      <c r="G234" s="9">
        <f t="shared" si="4"/>
        <v>-12916994</v>
      </c>
    </row>
    <row r="235" spans="1:7" x14ac:dyDescent="0.2">
      <c r="A235" s="12">
        <v>44365</v>
      </c>
      <c r="C235" s="18" t="s">
        <v>115</v>
      </c>
      <c r="D235" s="1" t="s">
        <v>9</v>
      </c>
      <c r="E235" s="3">
        <v>3736576</v>
      </c>
      <c r="G235" s="9">
        <f t="shared" si="4"/>
        <v>-9180418</v>
      </c>
    </row>
    <row r="236" spans="1:7" x14ac:dyDescent="0.2">
      <c r="A236" s="12">
        <v>44365</v>
      </c>
      <c r="C236" s="18" t="s">
        <v>182</v>
      </c>
      <c r="D236" s="1" t="s">
        <v>9</v>
      </c>
      <c r="E236" s="3">
        <f>208548+14042+102662</f>
        <v>325252</v>
      </c>
      <c r="G236" s="9">
        <f t="shared" si="4"/>
        <v>-8855166</v>
      </c>
    </row>
    <row r="237" spans="1:7" x14ac:dyDescent="0.2">
      <c r="A237" s="12">
        <v>44365</v>
      </c>
      <c r="C237" s="18" t="s">
        <v>115</v>
      </c>
      <c r="D237" s="1" t="s">
        <v>9</v>
      </c>
      <c r="E237" s="3">
        <v>7030971</v>
      </c>
      <c r="G237" s="9">
        <f t="shared" si="4"/>
        <v>-1824195</v>
      </c>
    </row>
    <row r="238" spans="1:7" x14ac:dyDescent="0.2">
      <c r="A238" s="12">
        <v>44365</v>
      </c>
      <c r="C238" s="18" t="s">
        <v>181</v>
      </c>
      <c r="D238" s="1" t="s">
        <v>9</v>
      </c>
      <c r="E238" s="3">
        <f>92366+33188+133399</f>
        <v>258953</v>
      </c>
      <c r="G238" s="9">
        <f t="shared" si="4"/>
        <v>-1565242</v>
      </c>
    </row>
    <row r="239" spans="1:7" x14ac:dyDescent="0.2">
      <c r="A239" s="12">
        <v>44369</v>
      </c>
      <c r="C239" s="18" t="s">
        <v>184</v>
      </c>
      <c r="D239" s="1" t="s">
        <v>9</v>
      </c>
      <c r="E239" s="3">
        <v>495600</v>
      </c>
      <c r="G239" s="9">
        <f t="shared" si="4"/>
        <v>-1069642</v>
      </c>
    </row>
    <row r="240" spans="1:7" x14ac:dyDescent="0.2">
      <c r="A240" s="12">
        <v>44369</v>
      </c>
      <c r="C240" s="18" t="s">
        <v>185</v>
      </c>
      <c r="D240" s="1" t="s">
        <v>9</v>
      </c>
      <c r="E240" s="3">
        <v>1290661</v>
      </c>
      <c r="G240" s="9">
        <f t="shared" si="4"/>
        <v>221019</v>
      </c>
    </row>
    <row r="241" spans="1:7" x14ac:dyDescent="0.2">
      <c r="A241" s="12">
        <v>44370</v>
      </c>
      <c r="C241" s="2" t="s">
        <v>35</v>
      </c>
      <c r="D241" s="1" t="s">
        <v>9</v>
      </c>
      <c r="F241" s="3">
        <v>6600</v>
      </c>
      <c r="G241" s="9">
        <f t="shared" si="4"/>
        <v>214419</v>
      </c>
    </row>
    <row r="242" spans="1:7" x14ac:dyDescent="0.2">
      <c r="A242" s="12">
        <v>44371</v>
      </c>
      <c r="C242" s="2" t="s">
        <v>186</v>
      </c>
      <c r="D242" s="1" t="s">
        <v>9</v>
      </c>
      <c r="F242" s="3">
        <f>1294009</f>
        <v>1294009</v>
      </c>
      <c r="G242" s="9">
        <f t="shared" si="4"/>
        <v>-1079590</v>
      </c>
    </row>
    <row r="243" spans="1:7" x14ac:dyDescent="0.2">
      <c r="A243" s="12">
        <v>44371</v>
      </c>
      <c r="C243" s="2" t="s">
        <v>21</v>
      </c>
      <c r="D243" s="1" t="s">
        <v>9</v>
      </c>
      <c r="E243" s="3">
        <v>105849</v>
      </c>
      <c r="G243" s="9">
        <f t="shared" si="4"/>
        <v>-973741</v>
      </c>
    </row>
    <row r="244" spans="1:7" x14ac:dyDescent="0.2">
      <c r="A244" s="12">
        <v>44372</v>
      </c>
      <c r="C244" s="2" t="s">
        <v>52</v>
      </c>
      <c r="D244" s="1" t="s">
        <v>9</v>
      </c>
      <c r="E244" s="3">
        <v>700000</v>
      </c>
      <c r="G244" s="9">
        <f t="shared" si="4"/>
        <v>-273741</v>
      </c>
    </row>
    <row r="245" spans="1:7" x14ac:dyDescent="0.2">
      <c r="A245" s="12">
        <v>44372</v>
      </c>
      <c r="C245" s="2" t="s">
        <v>27</v>
      </c>
      <c r="D245" s="1" t="s">
        <v>9</v>
      </c>
      <c r="F245" s="3">
        <v>500000</v>
      </c>
      <c r="G245" s="9">
        <f t="shared" si="4"/>
        <v>-773741</v>
      </c>
    </row>
    <row r="246" spans="1:7" x14ac:dyDescent="0.2">
      <c r="A246" s="12">
        <v>44372</v>
      </c>
      <c r="C246" s="2" t="s">
        <v>53</v>
      </c>
      <c r="D246" s="1" t="s">
        <v>9</v>
      </c>
      <c r="F246" s="3">
        <v>100</v>
      </c>
      <c r="G246" s="9">
        <f t="shared" si="4"/>
        <v>-773841</v>
      </c>
    </row>
    <row r="247" spans="1:7" x14ac:dyDescent="0.2">
      <c r="A247" s="12">
        <v>44372</v>
      </c>
      <c r="C247" s="2" t="s">
        <v>189</v>
      </c>
      <c r="D247" s="1" t="s">
        <v>9</v>
      </c>
      <c r="E247" s="3">
        <v>298862</v>
      </c>
      <c r="G247" s="9">
        <f t="shared" si="4"/>
        <v>-474979</v>
      </c>
    </row>
    <row r="248" spans="1:7" x14ac:dyDescent="0.2">
      <c r="A248" s="12">
        <v>44372</v>
      </c>
      <c r="C248" s="2" t="s">
        <v>61</v>
      </c>
      <c r="D248" s="1" t="s">
        <v>9</v>
      </c>
      <c r="E248" s="3">
        <v>327450</v>
      </c>
      <c r="G248" s="9">
        <f t="shared" si="4"/>
        <v>-147529</v>
      </c>
    </row>
    <row r="249" spans="1:7" x14ac:dyDescent="0.2">
      <c r="A249" s="12">
        <v>44372</v>
      </c>
      <c r="C249" s="18" t="s">
        <v>187</v>
      </c>
      <c r="D249" s="1" t="s">
        <v>9</v>
      </c>
      <c r="E249" s="3">
        <f>23671+242200</f>
        <v>265871</v>
      </c>
      <c r="G249" s="9">
        <f t="shared" si="4"/>
        <v>118342</v>
      </c>
    </row>
    <row r="250" spans="1:7" x14ac:dyDescent="0.2">
      <c r="A250" s="12">
        <v>44372</v>
      </c>
      <c r="C250" s="18" t="s">
        <v>188</v>
      </c>
      <c r="D250" s="1" t="s">
        <v>9</v>
      </c>
      <c r="E250" s="3">
        <v>121952</v>
      </c>
      <c r="G250" s="9">
        <f t="shared" si="4"/>
        <v>240294</v>
      </c>
    </row>
    <row r="251" spans="1:7" x14ac:dyDescent="0.2">
      <c r="A251" s="12">
        <v>44376</v>
      </c>
      <c r="C251" s="2" t="s">
        <v>35</v>
      </c>
      <c r="D251" s="1" t="s">
        <v>9</v>
      </c>
      <c r="F251" s="3">
        <v>6600</v>
      </c>
      <c r="G251" s="9">
        <f t="shared" si="4"/>
        <v>233694</v>
      </c>
    </row>
    <row r="252" spans="1:7" x14ac:dyDescent="0.2">
      <c r="A252" s="12">
        <v>44376</v>
      </c>
      <c r="C252" s="18" t="s">
        <v>192</v>
      </c>
      <c r="D252" s="1" t="s">
        <v>9</v>
      </c>
      <c r="E252" s="3">
        <f>176776+5837</f>
        <v>182613</v>
      </c>
      <c r="G252" s="9">
        <f t="shared" si="4"/>
        <v>416307</v>
      </c>
    </row>
    <row r="253" spans="1:7" x14ac:dyDescent="0.2">
      <c r="A253" s="12">
        <v>44376</v>
      </c>
      <c r="C253" s="18" t="s">
        <v>191</v>
      </c>
      <c r="D253" s="1" t="s">
        <v>9</v>
      </c>
      <c r="E253" s="3">
        <v>179818</v>
      </c>
      <c r="G253" s="9">
        <f t="shared" si="4"/>
        <v>596125</v>
      </c>
    </row>
    <row r="254" spans="1:7" x14ac:dyDescent="0.2">
      <c r="A254" s="12">
        <v>44377</v>
      </c>
      <c r="C254" s="2" t="s">
        <v>190</v>
      </c>
      <c r="D254" s="1" t="s">
        <v>9</v>
      </c>
      <c r="F254" s="3">
        <v>2231623</v>
      </c>
      <c r="G254" s="9">
        <f t="shared" si="4"/>
        <v>-1635498</v>
      </c>
    </row>
    <row r="255" spans="1:7" x14ac:dyDescent="0.2">
      <c r="A255" s="12">
        <v>44377</v>
      </c>
      <c r="C255" s="2" t="s">
        <v>34</v>
      </c>
      <c r="D255" s="1" t="s">
        <v>9</v>
      </c>
      <c r="F255" s="3">
        <v>1238</v>
      </c>
      <c r="G255" s="9">
        <f t="shared" si="4"/>
        <v>-1636736</v>
      </c>
    </row>
    <row r="256" spans="1:7" x14ac:dyDescent="0.2">
      <c r="A256" s="12">
        <v>44377</v>
      </c>
      <c r="C256" s="2" t="s">
        <v>194</v>
      </c>
      <c r="D256" s="1" t="s">
        <v>9</v>
      </c>
      <c r="F256" s="3">
        <v>137440</v>
      </c>
      <c r="G256" s="9">
        <f t="shared" si="4"/>
        <v>-1774176</v>
      </c>
    </row>
    <row r="257" spans="1:7" x14ac:dyDescent="0.2">
      <c r="A257" s="12">
        <v>44377</v>
      </c>
      <c r="C257" s="18" t="s">
        <v>74</v>
      </c>
      <c r="D257" s="1" t="s">
        <v>9</v>
      </c>
      <c r="E257" s="3">
        <v>600000</v>
      </c>
      <c r="G257" s="9">
        <f t="shared" si="4"/>
        <v>-1174176</v>
      </c>
    </row>
    <row r="258" spans="1:7" x14ac:dyDescent="0.2">
      <c r="A258" s="12">
        <v>44377</v>
      </c>
      <c r="C258" s="18" t="s">
        <v>193</v>
      </c>
      <c r="D258" s="1" t="s">
        <v>9</v>
      </c>
      <c r="E258" s="3">
        <f>13497+211069</f>
        <v>224566</v>
      </c>
      <c r="G258" s="9">
        <f t="shared" si="4"/>
        <v>-949610</v>
      </c>
    </row>
    <row r="259" spans="1:7" ht="15.75" x14ac:dyDescent="0.25">
      <c r="A259" s="10" t="s">
        <v>197</v>
      </c>
    </row>
    <row r="260" spans="1:7" x14ac:dyDescent="0.2">
      <c r="A260" s="11" t="s">
        <v>2</v>
      </c>
      <c r="B260" s="5" t="s">
        <v>1</v>
      </c>
      <c r="C260" s="5" t="s">
        <v>3</v>
      </c>
      <c r="D260" s="5"/>
      <c r="E260" s="7" t="s">
        <v>4</v>
      </c>
      <c r="F260" s="7" t="s">
        <v>6</v>
      </c>
      <c r="G260" s="8" t="s">
        <v>5</v>
      </c>
    </row>
    <row r="261" spans="1:7" x14ac:dyDescent="0.2">
      <c r="A261" s="20">
        <v>44378</v>
      </c>
      <c r="B261" s="21" t="s">
        <v>195</v>
      </c>
      <c r="C261" s="22" t="s">
        <v>211</v>
      </c>
      <c r="D261" s="21" t="s">
        <v>9</v>
      </c>
      <c r="E261" s="23"/>
      <c r="F261" s="23">
        <v>240000</v>
      </c>
      <c r="G261" s="9">
        <f>G258+E261-F261</f>
        <v>-1189610</v>
      </c>
    </row>
    <row r="262" spans="1:7" x14ac:dyDescent="0.2">
      <c r="A262" s="20">
        <v>44378</v>
      </c>
      <c r="B262" s="21" t="s">
        <v>196</v>
      </c>
      <c r="C262" s="22" t="s">
        <v>218</v>
      </c>
      <c r="D262" s="21" t="s">
        <v>9</v>
      </c>
      <c r="E262" s="23"/>
      <c r="F262" s="23">
        <v>90000</v>
      </c>
      <c r="G262" s="9">
        <f t="shared" si="4"/>
        <v>-1279610</v>
      </c>
    </row>
    <row r="263" spans="1:7" x14ac:dyDescent="0.2">
      <c r="A263" s="20">
        <v>44379</v>
      </c>
      <c r="B263" s="21" t="s">
        <v>200</v>
      </c>
      <c r="C263" s="22" t="s">
        <v>212</v>
      </c>
      <c r="D263" s="21" t="s">
        <v>9</v>
      </c>
      <c r="E263" s="23"/>
      <c r="F263" s="23">
        <v>330000</v>
      </c>
      <c r="G263" s="9">
        <f t="shared" si="4"/>
        <v>-1609610</v>
      </c>
    </row>
    <row r="264" spans="1:7" x14ac:dyDescent="0.2">
      <c r="A264" s="12">
        <v>44382</v>
      </c>
      <c r="C264" s="2" t="s">
        <v>18</v>
      </c>
      <c r="D264" s="1" t="s">
        <v>9</v>
      </c>
      <c r="E264" s="3">
        <v>228906</v>
      </c>
      <c r="G264" s="9">
        <f t="shared" si="4"/>
        <v>-1380704</v>
      </c>
    </row>
    <row r="265" spans="1:7" x14ac:dyDescent="0.2">
      <c r="A265" s="12">
        <v>44382</v>
      </c>
      <c r="C265" s="2" t="s">
        <v>35</v>
      </c>
      <c r="D265" s="1" t="s">
        <v>9</v>
      </c>
      <c r="F265" s="3">
        <v>6600</v>
      </c>
      <c r="G265" s="9">
        <f t="shared" si="4"/>
        <v>-1387304</v>
      </c>
    </row>
    <row r="266" spans="1:7" x14ac:dyDescent="0.2">
      <c r="A266" s="12">
        <v>44382</v>
      </c>
      <c r="C266" s="2" t="s">
        <v>201</v>
      </c>
      <c r="D266" s="1" t="s">
        <v>9</v>
      </c>
      <c r="E266" s="3">
        <v>81755</v>
      </c>
      <c r="G266" s="9">
        <f t="shared" si="4"/>
        <v>-1305549</v>
      </c>
    </row>
    <row r="267" spans="1:7" x14ac:dyDescent="0.2">
      <c r="A267" s="20">
        <v>44382</v>
      </c>
      <c r="B267" s="21"/>
      <c r="C267" s="22" t="s">
        <v>84</v>
      </c>
      <c r="D267" s="21" t="s">
        <v>9</v>
      </c>
      <c r="E267" s="23"/>
      <c r="F267" s="23">
        <v>487589</v>
      </c>
      <c r="G267" s="9">
        <f t="shared" si="4"/>
        <v>-1793138</v>
      </c>
    </row>
    <row r="268" spans="1:7" x14ac:dyDescent="0.2">
      <c r="A268" s="20">
        <v>44383</v>
      </c>
      <c r="B268" s="21" t="s">
        <v>198</v>
      </c>
      <c r="C268" s="22" t="s">
        <v>219</v>
      </c>
      <c r="D268" s="21" t="s">
        <v>9</v>
      </c>
      <c r="E268" s="23"/>
      <c r="F268" s="23">
        <v>90720</v>
      </c>
      <c r="G268" s="9">
        <f t="shared" si="4"/>
        <v>-1883858</v>
      </c>
    </row>
    <row r="269" spans="1:7" x14ac:dyDescent="0.2">
      <c r="A269" s="12">
        <v>44383</v>
      </c>
      <c r="C269" s="2" t="s">
        <v>35</v>
      </c>
      <c r="D269" s="1" t="s">
        <v>9</v>
      </c>
      <c r="F269" s="3">
        <v>6600</v>
      </c>
      <c r="G269" s="9">
        <f t="shared" si="4"/>
        <v>-1890458</v>
      </c>
    </row>
    <row r="270" spans="1:7" x14ac:dyDescent="0.2">
      <c r="A270" s="12">
        <v>44383</v>
      </c>
      <c r="C270" s="2" t="s">
        <v>199</v>
      </c>
      <c r="D270" s="1" t="s">
        <v>9</v>
      </c>
      <c r="E270" s="3">
        <v>10000000</v>
      </c>
      <c r="G270" s="9">
        <f t="shared" si="4"/>
        <v>8109542</v>
      </c>
    </row>
    <row r="271" spans="1:7" x14ac:dyDescent="0.2">
      <c r="A271" s="12">
        <v>44383</v>
      </c>
      <c r="C271" s="2" t="s">
        <v>53</v>
      </c>
      <c r="D271" s="1" t="s">
        <v>9</v>
      </c>
      <c r="F271" s="3">
        <v>100</v>
      </c>
      <c r="G271" s="9">
        <f t="shared" si="4"/>
        <v>8109442</v>
      </c>
    </row>
    <row r="272" spans="1:7" x14ac:dyDescent="0.2">
      <c r="A272" s="20">
        <v>44384</v>
      </c>
      <c r="B272" s="21"/>
      <c r="C272" s="22" t="s">
        <v>213</v>
      </c>
      <c r="D272" s="21" t="s">
        <v>9</v>
      </c>
      <c r="E272" s="23">
        <f>63720+153306</f>
        <v>217026</v>
      </c>
      <c r="F272" s="23"/>
      <c r="G272" s="9">
        <f t="shared" si="4"/>
        <v>8326468</v>
      </c>
    </row>
    <row r="273" spans="1:7" x14ac:dyDescent="0.2">
      <c r="A273" s="20">
        <v>44385</v>
      </c>
      <c r="B273" s="21" t="s">
        <v>209</v>
      </c>
      <c r="C273" s="22" t="s">
        <v>154</v>
      </c>
      <c r="D273" s="21" t="s">
        <v>9</v>
      </c>
      <c r="E273" s="23"/>
      <c r="F273" s="23">
        <v>275395</v>
      </c>
      <c r="G273" s="9">
        <f t="shared" si="4"/>
        <v>8051073</v>
      </c>
    </row>
    <row r="274" spans="1:7" x14ac:dyDescent="0.2">
      <c r="A274" s="12">
        <v>44385</v>
      </c>
      <c r="C274" s="2" t="s">
        <v>210</v>
      </c>
      <c r="D274" s="1" t="s">
        <v>9</v>
      </c>
      <c r="E274" s="3">
        <v>354000</v>
      </c>
      <c r="G274" s="9">
        <f t="shared" si="4"/>
        <v>8405073</v>
      </c>
    </row>
    <row r="275" spans="1:7" x14ac:dyDescent="0.2">
      <c r="A275" s="12">
        <v>44386</v>
      </c>
      <c r="C275" s="2" t="s">
        <v>15</v>
      </c>
      <c r="D275" s="1" t="s">
        <v>9</v>
      </c>
      <c r="E275" s="3">
        <v>503838</v>
      </c>
      <c r="G275" s="9">
        <f t="shared" si="4"/>
        <v>8908911</v>
      </c>
    </row>
    <row r="276" spans="1:7" x14ac:dyDescent="0.2">
      <c r="A276" s="12">
        <v>44389</v>
      </c>
      <c r="C276" s="2" t="s">
        <v>202</v>
      </c>
      <c r="D276" s="1" t="s">
        <v>9</v>
      </c>
      <c r="F276" s="3">
        <f>1530000</f>
        <v>1530000</v>
      </c>
      <c r="G276" s="9">
        <f t="shared" si="4"/>
        <v>7378911</v>
      </c>
    </row>
    <row r="277" spans="1:7" x14ac:dyDescent="0.2">
      <c r="A277" s="12">
        <v>44389</v>
      </c>
      <c r="C277" s="2" t="s">
        <v>203</v>
      </c>
      <c r="D277" s="1" t="s">
        <v>9</v>
      </c>
      <c r="F277" s="3">
        <f>500000+275</f>
        <v>500275</v>
      </c>
      <c r="G277" s="9">
        <f t="shared" si="4"/>
        <v>6878636</v>
      </c>
    </row>
    <row r="278" spans="1:7" x14ac:dyDescent="0.2">
      <c r="A278" s="12">
        <v>44389</v>
      </c>
      <c r="C278" s="2" t="s">
        <v>204</v>
      </c>
      <c r="D278" s="1" t="s">
        <v>9</v>
      </c>
      <c r="F278" s="3">
        <f>500000</f>
        <v>500000</v>
      </c>
      <c r="G278" s="9">
        <f t="shared" si="4"/>
        <v>6378636</v>
      </c>
    </row>
    <row r="279" spans="1:7" x14ac:dyDescent="0.2">
      <c r="A279" s="12">
        <v>44389</v>
      </c>
      <c r="C279" s="2" t="s">
        <v>205</v>
      </c>
      <c r="D279" s="1" t="s">
        <v>9</v>
      </c>
      <c r="F279" s="3">
        <f>896955</f>
        <v>896955</v>
      </c>
      <c r="G279" s="9">
        <f t="shared" si="4"/>
        <v>5481681</v>
      </c>
    </row>
    <row r="280" spans="1:7" x14ac:dyDescent="0.2">
      <c r="A280" s="12">
        <v>44389</v>
      </c>
      <c r="C280" s="2" t="s">
        <v>206</v>
      </c>
      <c r="D280" s="1" t="s">
        <v>9</v>
      </c>
      <c r="F280" s="3">
        <f>266317+275</f>
        <v>266592</v>
      </c>
      <c r="G280" s="9">
        <f t="shared" si="4"/>
        <v>5215089</v>
      </c>
    </row>
    <row r="281" spans="1:7" x14ac:dyDescent="0.2">
      <c r="A281" s="12">
        <v>44389</v>
      </c>
      <c r="C281" s="2" t="s">
        <v>207</v>
      </c>
      <c r="D281" s="1" t="s">
        <v>9</v>
      </c>
      <c r="F281" s="3">
        <f>1530746</f>
        <v>1530746</v>
      </c>
      <c r="G281" s="9">
        <f t="shared" si="4"/>
        <v>3684343</v>
      </c>
    </row>
    <row r="282" spans="1:7" x14ac:dyDescent="0.2">
      <c r="A282" s="12">
        <v>44389</v>
      </c>
      <c r="C282" s="2" t="s">
        <v>208</v>
      </c>
      <c r="D282" s="1" t="s">
        <v>9</v>
      </c>
      <c r="F282" s="3">
        <f>286424</f>
        <v>286424</v>
      </c>
      <c r="G282" s="9">
        <f t="shared" si="4"/>
        <v>3397919</v>
      </c>
    </row>
    <row r="283" spans="1:7" x14ac:dyDescent="0.2">
      <c r="A283" s="12">
        <v>44389</v>
      </c>
      <c r="C283" s="2" t="s">
        <v>217</v>
      </c>
      <c r="D283" s="1" t="s">
        <v>9</v>
      </c>
      <c r="E283" s="3">
        <v>7244964</v>
      </c>
      <c r="G283" s="9">
        <f t="shared" si="4"/>
        <v>10642883</v>
      </c>
    </row>
    <row r="284" spans="1:7" x14ac:dyDescent="0.2">
      <c r="A284" s="12">
        <v>44389</v>
      </c>
      <c r="C284" s="2" t="s">
        <v>38</v>
      </c>
      <c r="D284" s="1" t="s">
        <v>9</v>
      </c>
      <c r="F284" s="3">
        <v>8000</v>
      </c>
      <c r="G284" s="9">
        <f t="shared" si="4"/>
        <v>10634883</v>
      </c>
    </row>
    <row r="285" spans="1:7" x14ac:dyDescent="0.2">
      <c r="A285" s="12">
        <v>44389</v>
      </c>
      <c r="C285" s="2" t="s">
        <v>38</v>
      </c>
      <c r="D285" s="1" t="s">
        <v>9</v>
      </c>
      <c r="F285" s="3">
        <v>800</v>
      </c>
      <c r="G285" s="9">
        <f t="shared" si="4"/>
        <v>10634083</v>
      </c>
    </row>
    <row r="286" spans="1:7" x14ac:dyDescent="0.2">
      <c r="A286" s="12">
        <v>44390</v>
      </c>
      <c r="C286" s="22" t="s">
        <v>215</v>
      </c>
      <c r="D286" s="1" t="s">
        <v>9</v>
      </c>
      <c r="E286" s="3">
        <f>3644+59496+368145</f>
        <v>431285</v>
      </c>
      <c r="G286" s="9">
        <f t="shared" si="4"/>
        <v>11065368</v>
      </c>
    </row>
    <row r="287" spans="1:7" x14ac:dyDescent="0.2">
      <c r="A287" s="12">
        <v>44390</v>
      </c>
      <c r="C287" s="22" t="s">
        <v>216</v>
      </c>
      <c r="D287" s="1" t="s">
        <v>9</v>
      </c>
      <c r="E287" s="3">
        <f>179133+198004+141700+209654+22420</f>
        <v>750911</v>
      </c>
      <c r="G287" s="9">
        <f t="shared" si="4"/>
        <v>11816279</v>
      </c>
    </row>
    <row r="288" spans="1:7" x14ac:dyDescent="0.2">
      <c r="A288" s="12">
        <v>44390</v>
      </c>
      <c r="C288" s="2" t="s">
        <v>220</v>
      </c>
      <c r="D288" s="1" t="s">
        <v>9</v>
      </c>
      <c r="F288" s="3">
        <v>5500</v>
      </c>
      <c r="G288" s="9">
        <f t="shared" si="4"/>
        <v>11810779</v>
      </c>
    </row>
    <row r="289" spans="1:7" x14ac:dyDescent="0.2">
      <c r="A289" s="12">
        <v>44390</v>
      </c>
      <c r="C289" s="2" t="s">
        <v>220</v>
      </c>
      <c r="D289" s="1" t="s">
        <v>9</v>
      </c>
      <c r="F289" s="3">
        <v>5500</v>
      </c>
      <c r="G289" s="9">
        <f t="shared" si="4"/>
        <v>11805279</v>
      </c>
    </row>
    <row r="290" spans="1:7" x14ac:dyDescent="0.2">
      <c r="A290" s="12">
        <v>44390</v>
      </c>
      <c r="C290" s="2" t="s">
        <v>45</v>
      </c>
      <c r="D290" s="1" t="s">
        <v>9</v>
      </c>
      <c r="E290" s="3">
        <v>1132800</v>
      </c>
      <c r="G290" s="9">
        <f t="shared" si="4"/>
        <v>12938079</v>
      </c>
    </row>
    <row r="291" spans="1:7" x14ac:dyDescent="0.2">
      <c r="A291" s="12">
        <v>44390</v>
      </c>
      <c r="C291" s="2" t="s">
        <v>61</v>
      </c>
      <c r="D291" s="1" t="s">
        <v>9</v>
      </c>
      <c r="E291" s="3">
        <v>61950</v>
      </c>
      <c r="G291" s="9">
        <f t="shared" si="4"/>
        <v>13000029</v>
      </c>
    </row>
    <row r="292" spans="1:7" x14ac:dyDescent="0.2">
      <c r="A292" s="12">
        <v>44391</v>
      </c>
      <c r="C292" s="2" t="s">
        <v>52</v>
      </c>
      <c r="D292" s="1" t="s">
        <v>9</v>
      </c>
      <c r="E292" s="3">
        <v>1300000</v>
      </c>
      <c r="G292" s="9">
        <f t="shared" ref="G292:G359" si="5">G291+E292-F292</f>
        <v>14300029</v>
      </c>
    </row>
    <row r="293" spans="1:7" x14ac:dyDescent="0.2">
      <c r="A293" s="12">
        <v>44391</v>
      </c>
      <c r="B293" s="1" t="s">
        <v>222</v>
      </c>
      <c r="C293" s="2" t="s">
        <v>231</v>
      </c>
      <c r="D293" s="1" t="s">
        <v>9</v>
      </c>
      <c r="F293" s="3">
        <v>403750</v>
      </c>
      <c r="G293" s="9">
        <f t="shared" si="5"/>
        <v>13896279</v>
      </c>
    </row>
    <row r="294" spans="1:7" x14ac:dyDescent="0.2">
      <c r="A294" s="12">
        <v>44391</v>
      </c>
      <c r="C294" s="2" t="s">
        <v>15</v>
      </c>
      <c r="D294" s="1" t="s">
        <v>9</v>
      </c>
      <c r="E294" s="3">
        <v>1192266</v>
      </c>
      <c r="G294" s="9">
        <f t="shared" si="5"/>
        <v>15088545</v>
      </c>
    </row>
    <row r="295" spans="1:7" x14ac:dyDescent="0.2">
      <c r="A295" s="12">
        <v>44391</v>
      </c>
      <c r="C295" s="2" t="s">
        <v>53</v>
      </c>
      <c r="D295" s="1" t="s">
        <v>9</v>
      </c>
      <c r="F295" s="3">
        <v>100</v>
      </c>
      <c r="G295" s="9">
        <f t="shared" si="5"/>
        <v>15088445</v>
      </c>
    </row>
    <row r="296" spans="1:7" x14ac:dyDescent="0.2">
      <c r="A296" s="12">
        <v>44391</v>
      </c>
      <c r="C296" s="22" t="s">
        <v>221</v>
      </c>
      <c r="D296" s="1" t="s">
        <v>9</v>
      </c>
      <c r="E296" s="3">
        <v>81520</v>
      </c>
      <c r="G296" s="9">
        <f t="shared" si="5"/>
        <v>15169965</v>
      </c>
    </row>
    <row r="297" spans="1:7" x14ac:dyDescent="0.2">
      <c r="A297" s="12">
        <v>44392</v>
      </c>
      <c r="C297" s="2" t="s">
        <v>214</v>
      </c>
      <c r="D297" s="1" t="s">
        <v>9</v>
      </c>
      <c r="E297" s="3">
        <f>963411+19249+253110+9656</f>
        <v>1245426</v>
      </c>
      <c r="G297" s="9">
        <f t="shared" si="5"/>
        <v>16415391</v>
      </c>
    </row>
    <row r="298" spans="1:7" x14ac:dyDescent="0.2">
      <c r="A298" s="12">
        <v>44393</v>
      </c>
      <c r="C298" s="2" t="s">
        <v>223</v>
      </c>
      <c r="D298" s="1" t="s">
        <v>9</v>
      </c>
      <c r="F298" s="3">
        <f>1548867</f>
        <v>1548867</v>
      </c>
      <c r="G298" s="9">
        <f t="shared" si="5"/>
        <v>14866524</v>
      </c>
    </row>
    <row r="299" spans="1:7" x14ac:dyDescent="0.2">
      <c r="A299" s="12">
        <v>44393</v>
      </c>
      <c r="C299" s="2" t="s">
        <v>228</v>
      </c>
      <c r="D299" s="1" t="s">
        <v>9</v>
      </c>
      <c r="F299" s="3">
        <v>1396000</v>
      </c>
      <c r="G299" s="9">
        <f t="shared" si="5"/>
        <v>13470524</v>
      </c>
    </row>
    <row r="300" spans="1:7" x14ac:dyDescent="0.2">
      <c r="A300" s="12">
        <v>44393</v>
      </c>
      <c r="C300" s="2" t="s">
        <v>227</v>
      </c>
      <c r="D300" s="1" t="s">
        <v>9</v>
      </c>
      <c r="F300" s="3">
        <v>3300</v>
      </c>
      <c r="G300" s="9">
        <f t="shared" si="5"/>
        <v>13467224</v>
      </c>
    </row>
    <row r="301" spans="1:7" x14ac:dyDescent="0.2">
      <c r="A301" s="12">
        <v>44393</v>
      </c>
      <c r="C301" s="2" t="s">
        <v>227</v>
      </c>
      <c r="D301" s="1" t="s">
        <v>9</v>
      </c>
      <c r="F301" s="3">
        <v>3300</v>
      </c>
      <c r="G301" s="9">
        <f t="shared" si="5"/>
        <v>13463924</v>
      </c>
    </row>
    <row r="302" spans="1:7" x14ac:dyDescent="0.2">
      <c r="A302" s="12">
        <v>44393</v>
      </c>
      <c r="C302" s="2" t="s">
        <v>230</v>
      </c>
      <c r="D302" s="1" t="s">
        <v>9</v>
      </c>
      <c r="F302" s="3">
        <v>73110</v>
      </c>
      <c r="G302" s="9">
        <f t="shared" si="5"/>
        <v>13390814</v>
      </c>
    </row>
    <row r="303" spans="1:7" x14ac:dyDescent="0.2">
      <c r="A303" s="12">
        <v>44393</v>
      </c>
      <c r="C303" s="2" t="s">
        <v>227</v>
      </c>
      <c r="D303" s="1" t="s">
        <v>9</v>
      </c>
      <c r="F303" s="3">
        <v>3300</v>
      </c>
      <c r="G303" s="9">
        <f t="shared" si="5"/>
        <v>13387514</v>
      </c>
    </row>
    <row r="304" spans="1:7" x14ac:dyDescent="0.2">
      <c r="A304" s="12">
        <v>44393</v>
      </c>
      <c r="C304" s="2" t="s">
        <v>229</v>
      </c>
      <c r="D304" s="1" t="s">
        <v>9</v>
      </c>
      <c r="F304" s="3">
        <v>62372</v>
      </c>
      <c r="G304" s="9">
        <f t="shared" si="5"/>
        <v>13325142</v>
      </c>
    </row>
    <row r="305" spans="1:7" x14ac:dyDescent="0.2">
      <c r="A305" s="12">
        <v>44393</v>
      </c>
      <c r="C305" s="22" t="s">
        <v>224</v>
      </c>
      <c r="D305" s="1" t="s">
        <v>9</v>
      </c>
      <c r="E305" s="3">
        <v>591000</v>
      </c>
      <c r="G305" s="9">
        <f t="shared" si="5"/>
        <v>13916142</v>
      </c>
    </row>
    <row r="306" spans="1:7" x14ac:dyDescent="0.2">
      <c r="A306" s="12">
        <v>44393</v>
      </c>
      <c r="C306" s="22" t="s">
        <v>226</v>
      </c>
      <c r="D306" s="1" t="s">
        <v>9</v>
      </c>
      <c r="E306" s="3">
        <f>91332+60623+62109+411094+181248+46994</f>
        <v>853400</v>
      </c>
      <c r="G306" s="9">
        <f t="shared" si="5"/>
        <v>14769542</v>
      </c>
    </row>
    <row r="307" spans="1:7" x14ac:dyDescent="0.2">
      <c r="A307" s="12">
        <v>44393</v>
      </c>
      <c r="C307" s="22" t="s">
        <v>225</v>
      </c>
      <c r="D307" s="1" t="s">
        <v>9</v>
      </c>
      <c r="E307" s="3">
        <v>1189042</v>
      </c>
      <c r="G307" s="9">
        <f t="shared" si="5"/>
        <v>15958584</v>
      </c>
    </row>
    <row r="308" spans="1:7" x14ac:dyDescent="0.2">
      <c r="A308" s="12">
        <v>44398</v>
      </c>
      <c r="B308" s="1" t="s">
        <v>236</v>
      </c>
      <c r="C308" s="2" t="s">
        <v>237</v>
      </c>
      <c r="D308" s="1" t="s">
        <v>9</v>
      </c>
      <c r="F308" s="3">
        <v>1219352</v>
      </c>
      <c r="G308" s="9">
        <f t="shared" si="5"/>
        <v>14739232</v>
      </c>
    </row>
    <row r="309" spans="1:7" x14ac:dyDescent="0.2">
      <c r="A309" s="12">
        <v>44398</v>
      </c>
      <c r="C309" s="2" t="s">
        <v>239</v>
      </c>
      <c r="D309" s="1" t="s">
        <v>9</v>
      </c>
      <c r="F309" s="3">
        <v>6600</v>
      </c>
      <c r="G309" s="9">
        <f t="shared" si="5"/>
        <v>14732632</v>
      </c>
    </row>
    <row r="310" spans="1:7" x14ac:dyDescent="0.2">
      <c r="A310" s="12">
        <v>44398</v>
      </c>
      <c r="C310" s="2" t="s">
        <v>239</v>
      </c>
      <c r="D310" s="1" t="s">
        <v>9</v>
      </c>
      <c r="F310" s="3">
        <v>6600</v>
      </c>
      <c r="G310" s="9">
        <f t="shared" si="5"/>
        <v>14726032</v>
      </c>
    </row>
    <row r="311" spans="1:7" x14ac:dyDescent="0.2">
      <c r="A311" s="12">
        <v>44398</v>
      </c>
      <c r="C311" s="2" t="s">
        <v>45</v>
      </c>
      <c r="D311" s="1" t="s">
        <v>9</v>
      </c>
      <c r="E311" s="3">
        <v>698135</v>
      </c>
      <c r="G311" s="9">
        <f t="shared" si="5"/>
        <v>15424167</v>
      </c>
    </row>
    <row r="312" spans="1:7" x14ac:dyDescent="0.2">
      <c r="A312" s="12">
        <v>44398</v>
      </c>
      <c r="C312" s="2" t="s">
        <v>116</v>
      </c>
      <c r="D312" s="1" t="s">
        <v>9</v>
      </c>
      <c r="E312" s="3">
        <v>462560</v>
      </c>
      <c r="G312" s="9">
        <f t="shared" si="5"/>
        <v>15886727</v>
      </c>
    </row>
    <row r="313" spans="1:7" x14ac:dyDescent="0.2">
      <c r="A313" s="12">
        <v>44398</v>
      </c>
      <c r="C313" s="2" t="s">
        <v>232</v>
      </c>
      <c r="D313" s="1" t="s">
        <v>9</v>
      </c>
      <c r="F313" s="3">
        <f>5117698+139490</f>
        <v>5257188</v>
      </c>
      <c r="G313" s="9">
        <f t="shared" si="5"/>
        <v>10629539</v>
      </c>
    </row>
    <row r="314" spans="1:7" x14ac:dyDescent="0.2">
      <c r="A314" s="12">
        <v>44398</v>
      </c>
      <c r="B314" s="1" t="s">
        <v>233</v>
      </c>
      <c r="C314" s="2" t="s">
        <v>261</v>
      </c>
      <c r="D314" s="1" t="s">
        <v>9</v>
      </c>
      <c r="G314" s="9">
        <f t="shared" si="5"/>
        <v>10629539</v>
      </c>
    </row>
    <row r="315" spans="1:7" x14ac:dyDescent="0.2">
      <c r="A315" s="12">
        <v>44398</v>
      </c>
      <c r="B315" s="1" t="s">
        <v>235</v>
      </c>
      <c r="C315" s="2" t="s">
        <v>234</v>
      </c>
      <c r="D315" s="1" t="s">
        <v>9</v>
      </c>
      <c r="F315" s="3">
        <v>270000</v>
      </c>
      <c r="G315" s="9">
        <f t="shared" si="5"/>
        <v>10359539</v>
      </c>
    </row>
    <row r="316" spans="1:7" x14ac:dyDescent="0.2">
      <c r="A316" s="12">
        <v>44398</v>
      </c>
      <c r="B316" s="1" t="s">
        <v>238</v>
      </c>
      <c r="C316" s="2" t="s">
        <v>99</v>
      </c>
      <c r="D316" s="1" t="s">
        <v>9</v>
      </c>
      <c r="F316" s="3">
        <v>878194</v>
      </c>
      <c r="G316" s="9">
        <f t="shared" si="5"/>
        <v>9481345</v>
      </c>
    </row>
    <row r="317" spans="1:7" x14ac:dyDescent="0.2">
      <c r="A317" s="12">
        <v>44400</v>
      </c>
      <c r="C317" s="2" t="s">
        <v>15</v>
      </c>
      <c r="D317" s="1" t="s">
        <v>9</v>
      </c>
      <c r="E317" s="3">
        <v>1845205</v>
      </c>
      <c r="G317" s="9">
        <f t="shared" si="5"/>
        <v>11326550</v>
      </c>
    </row>
    <row r="318" spans="1:7" x14ac:dyDescent="0.2">
      <c r="A318" s="12">
        <v>44403</v>
      </c>
      <c r="C318" s="2" t="s">
        <v>27</v>
      </c>
      <c r="D318" s="1" t="s">
        <v>9</v>
      </c>
      <c r="F318" s="3">
        <v>500000</v>
      </c>
      <c r="G318" s="9">
        <f t="shared" si="5"/>
        <v>10826550</v>
      </c>
    </row>
    <row r="319" spans="1:7" x14ac:dyDescent="0.2">
      <c r="A319" s="12">
        <v>44404</v>
      </c>
      <c r="C319" s="2" t="s">
        <v>35</v>
      </c>
      <c r="D319" s="1" t="s">
        <v>9</v>
      </c>
      <c r="F319" s="3">
        <v>6600</v>
      </c>
      <c r="G319" s="9">
        <f t="shared" si="5"/>
        <v>10819950</v>
      </c>
    </row>
    <row r="320" spans="1:7" x14ac:dyDescent="0.2">
      <c r="A320" s="12">
        <v>44404</v>
      </c>
      <c r="C320" s="2" t="s">
        <v>217</v>
      </c>
      <c r="D320" s="1" t="s">
        <v>9</v>
      </c>
      <c r="E320" s="3">
        <v>94832</v>
      </c>
      <c r="G320" s="9">
        <f t="shared" si="5"/>
        <v>10914782</v>
      </c>
    </row>
    <row r="321" spans="1:7" x14ac:dyDescent="0.2">
      <c r="A321" s="12">
        <v>44404</v>
      </c>
      <c r="C321" s="2" t="s">
        <v>250</v>
      </c>
      <c r="D321" s="1" t="s">
        <v>9</v>
      </c>
      <c r="E321" s="3">
        <v>711696</v>
      </c>
      <c r="G321" s="9">
        <f t="shared" si="5"/>
        <v>11626478</v>
      </c>
    </row>
    <row r="322" spans="1:7" x14ac:dyDescent="0.2">
      <c r="A322" s="12">
        <v>44404</v>
      </c>
      <c r="C322" s="2" t="s">
        <v>251</v>
      </c>
      <c r="D322" s="1" t="s">
        <v>9</v>
      </c>
      <c r="E322" s="3">
        <v>183750</v>
      </c>
      <c r="G322" s="9">
        <f t="shared" si="5"/>
        <v>11810228</v>
      </c>
    </row>
    <row r="323" spans="1:7" x14ac:dyDescent="0.2">
      <c r="A323" s="12">
        <v>44405</v>
      </c>
      <c r="C323" s="2" t="s">
        <v>248</v>
      </c>
      <c r="D323" s="1" t="s">
        <v>9</v>
      </c>
      <c r="E323" s="3">
        <f>628140+197444+71083</f>
        <v>896667</v>
      </c>
      <c r="G323" s="9">
        <f t="shared" si="5"/>
        <v>12706895</v>
      </c>
    </row>
    <row r="324" spans="1:7" x14ac:dyDescent="0.2">
      <c r="A324" s="12">
        <v>44405</v>
      </c>
      <c r="C324" s="2" t="s">
        <v>249</v>
      </c>
      <c r="D324" s="1" t="s">
        <v>9</v>
      </c>
      <c r="E324" s="3">
        <f>160480+566315+7593</f>
        <v>734388</v>
      </c>
      <c r="G324" s="9">
        <f t="shared" si="5"/>
        <v>13441283</v>
      </c>
    </row>
    <row r="325" spans="1:7" x14ac:dyDescent="0.2">
      <c r="A325" s="12">
        <v>44406</v>
      </c>
      <c r="C325" s="2" t="s">
        <v>252</v>
      </c>
      <c r="D325" s="1" t="s">
        <v>9</v>
      </c>
      <c r="F325" s="3">
        <f>475746</f>
        <v>475746</v>
      </c>
      <c r="G325" s="9">
        <f t="shared" si="5"/>
        <v>12965537</v>
      </c>
    </row>
    <row r="326" spans="1:7" x14ac:dyDescent="0.2">
      <c r="A326" s="12">
        <v>44406</v>
      </c>
      <c r="C326" s="2" t="s">
        <v>199</v>
      </c>
      <c r="D326" s="1" t="s">
        <v>9</v>
      </c>
      <c r="E326" s="3">
        <v>1300100</v>
      </c>
      <c r="G326" s="9">
        <f t="shared" si="5"/>
        <v>14265637</v>
      </c>
    </row>
    <row r="327" spans="1:7" x14ac:dyDescent="0.2">
      <c r="A327" s="12">
        <v>44406</v>
      </c>
      <c r="C327" s="2" t="s">
        <v>253</v>
      </c>
      <c r="D327" s="1" t="s">
        <v>9</v>
      </c>
      <c r="F327" s="3">
        <v>100</v>
      </c>
      <c r="G327" s="9">
        <f t="shared" si="5"/>
        <v>14265537</v>
      </c>
    </row>
    <row r="328" spans="1:7" x14ac:dyDescent="0.2">
      <c r="A328" s="12">
        <v>44407</v>
      </c>
      <c r="C328" s="2" t="s">
        <v>190</v>
      </c>
      <c r="D328" s="1" t="s">
        <v>9</v>
      </c>
      <c r="F328" s="3">
        <v>2352884</v>
      </c>
      <c r="G328" s="9">
        <f t="shared" si="5"/>
        <v>11912653</v>
      </c>
    </row>
    <row r="329" spans="1:7" x14ac:dyDescent="0.2">
      <c r="A329" s="12">
        <v>44407</v>
      </c>
      <c r="C329" s="2" t="s">
        <v>34</v>
      </c>
      <c r="D329" s="1" t="s">
        <v>9</v>
      </c>
      <c r="F329" s="3">
        <v>1238</v>
      </c>
      <c r="G329" s="9">
        <f t="shared" si="5"/>
        <v>11911415</v>
      </c>
    </row>
    <row r="330" spans="1:7" x14ac:dyDescent="0.2">
      <c r="A330" s="12">
        <v>44407</v>
      </c>
      <c r="C330" s="2" t="s">
        <v>254</v>
      </c>
      <c r="D330" s="1" t="s">
        <v>9</v>
      </c>
      <c r="F330" s="3">
        <v>52436</v>
      </c>
      <c r="G330" s="9">
        <f t="shared" si="5"/>
        <v>11858979</v>
      </c>
    </row>
    <row r="331" spans="1:7" ht="15.75" x14ac:dyDescent="0.25">
      <c r="A331" s="10" t="s">
        <v>269</v>
      </c>
    </row>
    <row r="332" spans="1:7" x14ac:dyDescent="0.2">
      <c r="A332" s="11" t="s">
        <v>2</v>
      </c>
      <c r="B332" s="5" t="s">
        <v>1</v>
      </c>
      <c r="C332" s="5" t="s">
        <v>3</v>
      </c>
      <c r="D332" s="5"/>
      <c r="E332" s="7" t="s">
        <v>4</v>
      </c>
      <c r="F332" s="7" t="s">
        <v>6</v>
      </c>
      <c r="G332" s="8" t="s">
        <v>5</v>
      </c>
    </row>
    <row r="333" spans="1:7" x14ac:dyDescent="0.2">
      <c r="A333" s="12">
        <v>44410</v>
      </c>
      <c r="C333" s="2" t="s">
        <v>74</v>
      </c>
      <c r="D333" s="1" t="s">
        <v>9</v>
      </c>
      <c r="E333" s="3">
        <v>645366</v>
      </c>
      <c r="G333" s="9">
        <f>G330+E333-F333</f>
        <v>12504345</v>
      </c>
    </row>
    <row r="334" spans="1:7" x14ac:dyDescent="0.2">
      <c r="A334" s="12">
        <v>44410</v>
      </c>
      <c r="C334" s="2" t="s">
        <v>255</v>
      </c>
      <c r="D334" s="1" t="s">
        <v>9</v>
      </c>
      <c r="E334" s="3">
        <v>1141736</v>
      </c>
      <c r="G334" s="9">
        <f t="shared" si="5"/>
        <v>13646081</v>
      </c>
    </row>
    <row r="335" spans="1:7" x14ac:dyDescent="0.2">
      <c r="A335" s="12">
        <v>44410</v>
      </c>
      <c r="C335" s="2" t="s">
        <v>907</v>
      </c>
      <c r="D335" s="1" t="s">
        <v>9</v>
      </c>
      <c r="E335" s="3">
        <f>87656+102000+600000</f>
        <v>789656</v>
      </c>
      <c r="G335" s="9">
        <f t="shared" si="5"/>
        <v>14435737</v>
      </c>
    </row>
    <row r="336" spans="1:7" x14ac:dyDescent="0.2">
      <c r="A336" s="12">
        <v>44411</v>
      </c>
      <c r="C336" s="2" t="s">
        <v>84</v>
      </c>
      <c r="D336" s="1" t="s">
        <v>9</v>
      </c>
      <c r="F336" s="3">
        <v>487589</v>
      </c>
      <c r="G336" s="9">
        <f t="shared" si="5"/>
        <v>13948148</v>
      </c>
    </row>
    <row r="337" spans="1:7" x14ac:dyDescent="0.2">
      <c r="A337" s="12">
        <v>44412</v>
      </c>
      <c r="C337" s="2" t="s">
        <v>256</v>
      </c>
      <c r="D337" s="1" t="s">
        <v>9</v>
      </c>
      <c r="F337" s="3">
        <f>1331389</f>
        <v>1331389</v>
      </c>
      <c r="G337" s="9">
        <f t="shared" si="5"/>
        <v>12616759</v>
      </c>
    </row>
    <row r="338" spans="1:7" x14ac:dyDescent="0.2">
      <c r="A338" s="12">
        <v>44412</v>
      </c>
      <c r="C338" s="2" t="s">
        <v>21</v>
      </c>
      <c r="D338" s="1" t="s">
        <v>9</v>
      </c>
      <c r="E338" s="3">
        <v>1400013</v>
      </c>
      <c r="G338" s="9">
        <f t="shared" si="5"/>
        <v>14016772</v>
      </c>
    </row>
    <row r="339" spans="1:7" x14ac:dyDescent="0.2">
      <c r="A339" s="12">
        <v>44414</v>
      </c>
      <c r="C339" s="2" t="s">
        <v>257</v>
      </c>
      <c r="D339" s="1" t="s">
        <v>9</v>
      </c>
      <c r="F339" s="3">
        <f>4753006</f>
        <v>4753006</v>
      </c>
      <c r="G339" s="9">
        <f t="shared" si="5"/>
        <v>9263766</v>
      </c>
    </row>
    <row r="340" spans="1:7" x14ac:dyDescent="0.2">
      <c r="A340" s="12">
        <v>44414</v>
      </c>
      <c r="C340" s="2" t="s">
        <v>259</v>
      </c>
      <c r="D340" s="1" t="s">
        <v>9</v>
      </c>
      <c r="E340" s="3">
        <v>1354955</v>
      </c>
      <c r="G340" s="9">
        <f t="shared" si="5"/>
        <v>10618721</v>
      </c>
    </row>
    <row r="341" spans="1:7" x14ac:dyDescent="0.2">
      <c r="A341" s="20">
        <v>44414</v>
      </c>
      <c r="B341" s="21"/>
      <c r="C341" s="22" t="s">
        <v>56</v>
      </c>
      <c r="D341" s="21" t="s">
        <v>9</v>
      </c>
      <c r="E341" s="23">
        <v>80400</v>
      </c>
      <c r="F341" s="23"/>
      <c r="G341" s="9">
        <f t="shared" si="5"/>
        <v>10699121</v>
      </c>
    </row>
    <row r="342" spans="1:7" x14ac:dyDescent="0.2">
      <c r="A342" s="20">
        <v>44414</v>
      </c>
      <c r="B342" s="21"/>
      <c r="C342" s="22" t="s">
        <v>55</v>
      </c>
      <c r="D342" s="21" t="s">
        <v>9</v>
      </c>
      <c r="E342" s="23">
        <v>316562</v>
      </c>
      <c r="F342" s="23"/>
      <c r="G342" s="9">
        <f t="shared" si="5"/>
        <v>11015683</v>
      </c>
    </row>
    <row r="343" spans="1:7" x14ac:dyDescent="0.2">
      <c r="A343" s="20">
        <v>44414</v>
      </c>
      <c r="B343" s="21"/>
      <c r="C343" s="22" t="s">
        <v>277</v>
      </c>
      <c r="D343" s="21" t="s">
        <v>9</v>
      </c>
      <c r="E343" s="23">
        <v>7788</v>
      </c>
      <c r="F343" s="23"/>
      <c r="G343" s="9">
        <f t="shared" si="5"/>
        <v>11023471</v>
      </c>
    </row>
    <row r="344" spans="1:7" x14ac:dyDescent="0.2">
      <c r="A344" s="20">
        <v>44414</v>
      </c>
      <c r="B344" s="21"/>
      <c r="C344" s="22" t="s">
        <v>278</v>
      </c>
      <c r="D344" s="21" t="s">
        <v>9</v>
      </c>
      <c r="E344" s="23">
        <v>18940</v>
      </c>
      <c r="F344" s="23"/>
      <c r="G344" s="9">
        <f t="shared" si="5"/>
        <v>11042411</v>
      </c>
    </row>
    <row r="345" spans="1:7" x14ac:dyDescent="0.2">
      <c r="A345" s="20">
        <v>44414</v>
      </c>
      <c r="B345" s="21"/>
      <c r="C345" s="22" t="s">
        <v>279</v>
      </c>
      <c r="D345" s="21" t="s">
        <v>9</v>
      </c>
      <c r="E345" s="23">
        <v>2171</v>
      </c>
      <c r="F345" s="23"/>
      <c r="G345" s="9">
        <f t="shared" si="5"/>
        <v>11044582</v>
      </c>
    </row>
    <row r="346" spans="1:7" x14ac:dyDescent="0.2">
      <c r="A346" s="12">
        <v>44417</v>
      </c>
      <c r="C346" s="2" t="s">
        <v>258</v>
      </c>
      <c r="D346" s="1" t="s">
        <v>9</v>
      </c>
      <c r="E346" s="3">
        <v>414971</v>
      </c>
      <c r="G346" s="9">
        <f t="shared" si="5"/>
        <v>11459553</v>
      </c>
    </row>
    <row r="347" spans="1:7" x14ac:dyDescent="0.2">
      <c r="A347" s="12">
        <v>44418</v>
      </c>
      <c r="C347" s="2" t="s">
        <v>240</v>
      </c>
      <c r="D347" s="1" t="s">
        <v>9</v>
      </c>
      <c r="F347" s="3">
        <f>1530000+275</f>
        <v>1530275</v>
      </c>
      <c r="G347" s="9">
        <f t="shared" si="5"/>
        <v>9929278</v>
      </c>
    </row>
    <row r="348" spans="1:7" x14ac:dyDescent="0.2">
      <c r="A348" s="12">
        <v>44418</v>
      </c>
      <c r="C348" s="2" t="s">
        <v>241</v>
      </c>
      <c r="D348" s="1" t="s">
        <v>9</v>
      </c>
      <c r="F348" s="3">
        <f>151093+275</f>
        <v>151368</v>
      </c>
      <c r="G348" s="9">
        <f t="shared" si="5"/>
        <v>9777910</v>
      </c>
    </row>
    <row r="349" spans="1:7" x14ac:dyDescent="0.2">
      <c r="A349" s="12">
        <v>44418</v>
      </c>
      <c r="C349" s="2" t="s">
        <v>242</v>
      </c>
      <c r="D349" s="1" t="s">
        <v>9</v>
      </c>
      <c r="F349" s="3">
        <f>98235+275</f>
        <v>98510</v>
      </c>
      <c r="G349" s="9">
        <f t="shared" si="5"/>
        <v>9679400</v>
      </c>
    </row>
    <row r="350" spans="1:7" x14ac:dyDescent="0.2">
      <c r="A350" s="12">
        <v>44418</v>
      </c>
      <c r="C350" s="2" t="s">
        <v>243</v>
      </c>
      <c r="D350" s="1" t="s">
        <v>9</v>
      </c>
      <c r="F350" s="3">
        <f>829430</f>
        <v>829430</v>
      </c>
      <c r="G350" s="9">
        <f t="shared" si="5"/>
        <v>8849970</v>
      </c>
    </row>
    <row r="351" spans="1:7" x14ac:dyDescent="0.2">
      <c r="A351" s="12">
        <v>44418</v>
      </c>
      <c r="C351" s="2" t="s">
        <v>244</v>
      </c>
      <c r="D351" s="1" t="s">
        <v>9</v>
      </c>
      <c r="F351" s="3">
        <f>330725</f>
        <v>330725</v>
      </c>
      <c r="G351" s="9">
        <f t="shared" si="5"/>
        <v>8519245</v>
      </c>
    </row>
    <row r="352" spans="1:7" x14ac:dyDescent="0.2">
      <c r="A352" s="12">
        <v>44418</v>
      </c>
      <c r="C352" s="2" t="s">
        <v>245</v>
      </c>
      <c r="D352" s="1" t="s">
        <v>9</v>
      </c>
      <c r="F352" s="3">
        <f>678500</f>
        <v>678500</v>
      </c>
      <c r="G352" s="9">
        <f t="shared" si="5"/>
        <v>7840745</v>
      </c>
    </row>
    <row r="353" spans="1:7" x14ac:dyDescent="0.2">
      <c r="A353" s="12">
        <v>44418</v>
      </c>
      <c r="C353" s="2" t="s">
        <v>246</v>
      </c>
      <c r="D353" s="1" t="s">
        <v>9</v>
      </c>
      <c r="F353" s="3">
        <f>691492+275</f>
        <v>691767</v>
      </c>
      <c r="G353" s="9">
        <f t="shared" si="5"/>
        <v>7148978</v>
      </c>
    </row>
    <row r="354" spans="1:7" x14ac:dyDescent="0.2">
      <c r="A354" s="12">
        <v>44418</v>
      </c>
      <c r="C354" s="2" t="s">
        <v>203</v>
      </c>
      <c r="D354" s="1" t="s">
        <v>9</v>
      </c>
      <c r="F354" s="3">
        <f>500000</f>
        <v>500000</v>
      </c>
      <c r="G354" s="9">
        <f t="shared" si="5"/>
        <v>6648978</v>
      </c>
    </row>
    <row r="355" spans="1:7" x14ac:dyDescent="0.2">
      <c r="A355" s="12">
        <v>44418</v>
      </c>
      <c r="C355" s="2" t="s">
        <v>247</v>
      </c>
      <c r="D355" s="1" t="s">
        <v>9</v>
      </c>
      <c r="F355" s="3">
        <f>380750+275</f>
        <v>381025</v>
      </c>
      <c r="G355" s="9">
        <f t="shared" si="5"/>
        <v>6267953</v>
      </c>
    </row>
    <row r="356" spans="1:7" x14ac:dyDescent="0.2">
      <c r="A356" s="12">
        <v>44418</v>
      </c>
      <c r="C356" s="2" t="s">
        <v>201</v>
      </c>
      <c r="D356" s="1" t="s">
        <v>9</v>
      </c>
      <c r="E356" s="3">
        <v>178694</v>
      </c>
      <c r="G356" s="9">
        <f t="shared" si="5"/>
        <v>6446647</v>
      </c>
    </row>
    <row r="357" spans="1:7" x14ac:dyDescent="0.2">
      <c r="A357" s="12">
        <v>44418</v>
      </c>
      <c r="C357" s="2" t="s">
        <v>18</v>
      </c>
      <c r="D357" s="1" t="s">
        <v>9</v>
      </c>
      <c r="E357" s="3">
        <v>101805</v>
      </c>
      <c r="G357" s="9">
        <f t="shared" si="5"/>
        <v>6548452</v>
      </c>
    </row>
    <row r="358" spans="1:7" x14ac:dyDescent="0.2">
      <c r="A358" s="12">
        <v>44418</v>
      </c>
      <c r="B358" s="1" t="s">
        <v>263</v>
      </c>
      <c r="C358" s="2" t="s">
        <v>234</v>
      </c>
      <c r="D358" s="1" t="s">
        <v>9</v>
      </c>
      <c r="F358" s="3">
        <v>270000</v>
      </c>
      <c r="G358" s="9">
        <f t="shared" si="5"/>
        <v>6278452</v>
      </c>
    </row>
    <row r="359" spans="1:7" x14ac:dyDescent="0.2">
      <c r="A359" s="20">
        <v>44419</v>
      </c>
      <c r="B359" s="21"/>
      <c r="C359" s="22" t="s">
        <v>276</v>
      </c>
      <c r="D359" s="21" t="s">
        <v>9</v>
      </c>
      <c r="E359" s="23">
        <v>804146</v>
      </c>
      <c r="F359" s="23"/>
      <c r="G359" s="9">
        <f t="shared" si="5"/>
        <v>7082598</v>
      </c>
    </row>
    <row r="360" spans="1:7" x14ac:dyDescent="0.2">
      <c r="A360" s="12">
        <v>44421</v>
      </c>
      <c r="C360" s="2" t="s">
        <v>35</v>
      </c>
      <c r="D360" s="1" t="s">
        <v>9</v>
      </c>
      <c r="F360" s="3">
        <v>6600</v>
      </c>
      <c r="G360" s="9">
        <f t="shared" ref="G360:G425" si="6">G359+E360-F360</f>
        <v>7075998</v>
      </c>
    </row>
    <row r="361" spans="1:7" x14ac:dyDescent="0.2">
      <c r="A361" s="12">
        <v>44421</v>
      </c>
      <c r="C361" s="2" t="s">
        <v>35</v>
      </c>
      <c r="D361" s="1" t="s">
        <v>9</v>
      </c>
      <c r="F361" s="3">
        <v>6600</v>
      </c>
      <c r="G361" s="9">
        <f t="shared" si="6"/>
        <v>7069398</v>
      </c>
    </row>
    <row r="362" spans="1:7" x14ac:dyDescent="0.2">
      <c r="A362" s="12">
        <v>44421</v>
      </c>
      <c r="C362" s="2" t="s">
        <v>116</v>
      </c>
      <c r="D362" s="1" t="s">
        <v>9</v>
      </c>
      <c r="E362" s="3">
        <v>128497</v>
      </c>
      <c r="G362" s="9">
        <f t="shared" si="6"/>
        <v>7197895</v>
      </c>
    </row>
    <row r="363" spans="1:7" x14ac:dyDescent="0.2">
      <c r="A363" s="20">
        <v>44424</v>
      </c>
      <c r="B363" s="21"/>
      <c r="C363" s="22" t="s">
        <v>274</v>
      </c>
      <c r="D363" s="21" t="s">
        <v>9</v>
      </c>
      <c r="E363" s="23">
        <f>478608+170971</f>
        <v>649579</v>
      </c>
      <c r="F363" s="23"/>
      <c r="G363" s="9">
        <f t="shared" si="6"/>
        <v>7847474</v>
      </c>
    </row>
    <row r="364" spans="1:7" x14ac:dyDescent="0.2">
      <c r="A364" s="20">
        <v>44424</v>
      </c>
      <c r="B364" s="21"/>
      <c r="C364" s="22" t="s">
        <v>275</v>
      </c>
      <c r="D364" s="21" t="s">
        <v>9</v>
      </c>
      <c r="E364" s="23">
        <f>244968+26500+32036+76228</f>
        <v>379732</v>
      </c>
      <c r="F364" s="23"/>
      <c r="G364" s="9">
        <f t="shared" si="6"/>
        <v>8227206</v>
      </c>
    </row>
    <row r="365" spans="1:7" x14ac:dyDescent="0.2">
      <c r="A365" s="12">
        <v>44427</v>
      </c>
      <c r="C365" s="2" t="s">
        <v>18</v>
      </c>
      <c r="D365" s="1" t="s">
        <v>9</v>
      </c>
      <c r="E365" s="3">
        <v>16550</v>
      </c>
      <c r="G365" s="9">
        <f t="shared" si="6"/>
        <v>8243756</v>
      </c>
    </row>
    <row r="366" spans="1:7" x14ac:dyDescent="0.2">
      <c r="A366" s="12">
        <v>44427</v>
      </c>
      <c r="C366" s="2" t="s">
        <v>18</v>
      </c>
      <c r="D366" s="1" t="s">
        <v>9</v>
      </c>
      <c r="E366" s="3">
        <v>205320</v>
      </c>
      <c r="G366" s="9">
        <f t="shared" si="6"/>
        <v>8449076</v>
      </c>
    </row>
    <row r="367" spans="1:7" x14ac:dyDescent="0.2">
      <c r="A367" s="20">
        <v>44431</v>
      </c>
      <c r="B367" s="21"/>
      <c r="C367" s="22" t="s">
        <v>273</v>
      </c>
      <c r="D367" s="21" t="s">
        <v>9</v>
      </c>
      <c r="E367" s="23">
        <f>143526+149122+188800+229687</f>
        <v>711135</v>
      </c>
      <c r="F367" s="23"/>
      <c r="G367" s="9">
        <f t="shared" si="6"/>
        <v>9160211</v>
      </c>
    </row>
    <row r="368" spans="1:7" x14ac:dyDescent="0.2">
      <c r="A368" s="12">
        <v>44431</v>
      </c>
      <c r="C368" s="2" t="s">
        <v>76</v>
      </c>
      <c r="D368" s="1" t="s">
        <v>9</v>
      </c>
      <c r="E368" s="3">
        <v>51920</v>
      </c>
      <c r="G368" s="9">
        <f t="shared" si="6"/>
        <v>9212131</v>
      </c>
    </row>
    <row r="369" spans="1:9" x14ac:dyDescent="0.2">
      <c r="A369" s="12">
        <v>44431</v>
      </c>
      <c r="C369" s="2" t="s">
        <v>21</v>
      </c>
      <c r="D369" s="1" t="s">
        <v>9</v>
      </c>
      <c r="E369" s="3">
        <v>469675</v>
      </c>
      <c r="G369" s="9">
        <f t="shared" si="6"/>
        <v>9681806</v>
      </c>
    </row>
    <row r="370" spans="1:9" x14ac:dyDescent="0.2">
      <c r="A370" s="12">
        <v>44432</v>
      </c>
      <c r="C370" s="2" t="s">
        <v>260</v>
      </c>
      <c r="D370" s="1" t="s">
        <v>9</v>
      </c>
      <c r="E370" s="3">
        <v>49600</v>
      </c>
      <c r="G370" s="9">
        <f t="shared" si="6"/>
        <v>9731406</v>
      </c>
    </row>
    <row r="371" spans="1:9" x14ac:dyDescent="0.2">
      <c r="A371" s="20">
        <v>44433</v>
      </c>
      <c r="B371" s="21"/>
      <c r="C371" s="22" t="s">
        <v>271</v>
      </c>
      <c r="D371" s="21" t="s">
        <v>9</v>
      </c>
      <c r="E371" s="23">
        <f>261733+1006500+72216+570825+23364+182735+11505</f>
        <v>2128878</v>
      </c>
      <c r="F371" s="23"/>
      <c r="G371" s="9">
        <f t="shared" si="6"/>
        <v>11860284</v>
      </c>
    </row>
    <row r="372" spans="1:9" x14ac:dyDescent="0.2">
      <c r="A372" s="12">
        <v>44435</v>
      </c>
      <c r="C372" s="2" t="s">
        <v>262</v>
      </c>
      <c r="D372" s="1" t="s">
        <v>9</v>
      </c>
      <c r="F372" s="3">
        <v>3778674</v>
      </c>
      <c r="G372" s="9">
        <f t="shared" si="6"/>
        <v>8081610</v>
      </c>
    </row>
    <row r="373" spans="1:9" x14ac:dyDescent="0.2">
      <c r="A373" s="12">
        <v>44435</v>
      </c>
      <c r="C373" s="2" t="s">
        <v>227</v>
      </c>
      <c r="D373" s="1" t="s">
        <v>9</v>
      </c>
      <c r="F373" s="3">
        <v>3300</v>
      </c>
      <c r="G373" s="9">
        <f t="shared" si="6"/>
        <v>8078310</v>
      </c>
    </row>
    <row r="374" spans="1:9" x14ac:dyDescent="0.2">
      <c r="A374" s="12">
        <v>44439</v>
      </c>
      <c r="C374" s="2" t="s">
        <v>267</v>
      </c>
      <c r="D374" s="1" t="s">
        <v>9</v>
      </c>
      <c r="F374" s="3">
        <v>34473</v>
      </c>
      <c r="G374" s="9">
        <f t="shared" si="6"/>
        <v>8043837</v>
      </c>
    </row>
    <row r="375" spans="1:9" x14ac:dyDescent="0.2">
      <c r="A375" s="12">
        <v>44439</v>
      </c>
      <c r="C375" s="2" t="s">
        <v>52</v>
      </c>
      <c r="D375" s="1" t="s">
        <v>9</v>
      </c>
      <c r="E375" s="3">
        <v>900000</v>
      </c>
      <c r="G375" s="9">
        <f t="shared" si="6"/>
        <v>8943837</v>
      </c>
    </row>
    <row r="376" spans="1:9" x14ac:dyDescent="0.2">
      <c r="A376" s="12">
        <v>44439</v>
      </c>
      <c r="C376" s="2" t="s">
        <v>53</v>
      </c>
      <c r="D376" s="1" t="s">
        <v>9</v>
      </c>
      <c r="F376" s="3">
        <v>100</v>
      </c>
      <c r="G376" s="9">
        <f t="shared" si="6"/>
        <v>8943737</v>
      </c>
    </row>
    <row r="377" spans="1:9" x14ac:dyDescent="0.2">
      <c r="A377" s="20">
        <v>44439</v>
      </c>
      <c r="B377" s="21"/>
      <c r="C377" s="22" t="s">
        <v>272</v>
      </c>
      <c r="D377" s="21" t="s">
        <v>9</v>
      </c>
      <c r="E377" s="23">
        <f>164468+78736+34515+161424</f>
        <v>439143</v>
      </c>
      <c r="F377" s="23"/>
      <c r="G377" s="9">
        <f t="shared" si="6"/>
        <v>9382880</v>
      </c>
      <c r="I377" s="24">
        <v>10006880</v>
      </c>
    </row>
    <row r="378" spans="1:9" x14ac:dyDescent="0.2">
      <c r="A378" s="12">
        <v>44439</v>
      </c>
      <c r="C378" s="2" t="s">
        <v>268</v>
      </c>
      <c r="D378" s="1" t="s">
        <v>9</v>
      </c>
      <c r="E378" s="3">
        <v>354000</v>
      </c>
      <c r="G378" s="9">
        <f t="shared" si="6"/>
        <v>9736880</v>
      </c>
      <c r="I378" s="9">
        <f>I377-F358</f>
        <v>9736880</v>
      </c>
    </row>
    <row r="379" spans="1:9" ht="15.75" x14ac:dyDescent="0.25">
      <c r="A379" s="10" t="s">
        <v>270</v>
      </c>
    </row>
    <row r="380" spans="1:9" x14ac:dyDescent="0.2">
      <c r="A380" s="11" t="s">
        <v>2</v>
      </c>
      <c r="B380" s="5" t="s">
        <v>1</v>
      </c>
      <c r="C380" s="5" t="s">
        <v>3</v>
      </c>
      <c r="D380" s="5"/>
      <c r="E380" s="7" t="s">
        <v>4</v>
      </c>
      <c r="F380" s="7" t="s">
        <v>6</v>
      </c>
      <c r="G380" s="8" t="s">
        <v>5</v>
      </c>
    </row>
    <row r="381" spans="1:9" x14ac:dyDescent="0.2">
      <c r="A381" s="12">
        <v>44440</v>
      </c>
      <c r="C381" s="2" t="s">
        <v>264</v>
      </c>
      <c r="D381" s="1" t="s">
        <v>9</v>
      </c>
      <c r="F381" s="3">
        <f>2058550</f>
        <v>2058550</v>
      </c>
      <c r="G381" s="9">
        <f>G378+E381-F381</f>
        <v>7678330</v>
      </c>
    </row>
    <row r="382" spans="1:9" x14ac:dyDescent="0.2">
      <c r="A382" s="12">
        <v>44440</v>
      </c>
      <c r="C382" s="2" t="s">
        <v>34</v>
      </c>
      <c r="D382" s="1" t="s">
        <v>9</v>
      </c>
      <c r="F382" s="3">
        <v>1100</v>
      </c>
      <c r="G382" s="9">
        <f t="shared" si="6"/>
        <v>7677230</v>
      </c>
    </row>
    <row r="383" spans="1:9" x14ac:dyDescent="0.2">
      <c r="A383" s="12">
        <v>44441</v>
      </c>
      <c r="C383" s="2" t="s">
        <v>265</v>
      </c>
      <c r="D383" s="1" t="s">
        <v>9</v>
      </c>
      <c r="F383" s="3">
        <f>3815339</f>
        <v>3815339</v>
      </c>
      <c r="G383" s="9">
        <f t="shared" si="6"/>
        <v>3861891</v>
      </c>
    </row>
    <row r="384" spans="1:9" x14ac:dyDescent="0.2">
      <c r="A384" s="12">
        <v>44441</v>
      </c>
      <c r="C384" s="2" t="s">
        <v>266</v>
      </c>
      <c r="D384" s="1" t="s">
        <v>9</v>
      </c>
      <c r="F384" s="3">
        <f>1816873</f>
        <v>1816873</v>
      </c>
      <c r="G384" s="9">
        <f t="shared" si="6"/>
        <v>2045018</v>
      </c>
    </row>
    <row r="385" spans="1:7" x14ac:dyDescent="0.2">
      <c r="A385" s="12">
        <v>44445</v>
      </c>
      <c r="C385" s="22" t="s">
        <v>281</v>
      </c>
      <c r="D385" s="1" t="s">
        <v>9</v>
      </c>
      <c r="E385" s="3">
        <v>142677</v>
      </c>
      <c r="G385" s="9">
        <f t="shared" si="6"/>
        <v>2187695</v>
      </c>
    </row>
    <row r="386" spans="1:7" x14ac:dyDescent="0.2">
      <c r="A386" s="12">
        <v>44445</v>
      </c>
      <c r="C386" s="22" t="s">
        <v>280</v>
      </c>
      <c r="D386" s="1" t="s">
        <v>9</v>
      </c>
      <c r="E386" s="3">
        <f>308424+115476</f>
        <v>423900</v>
      </c>
      <c r="G386" s="9">
        <f t="shared" si="6"/>
        <v>2611595</v>
      </c>
    </row>
    <row r="387" spans="1:7" x14ac:dyDescent="0.2">
      <c r="A387" s="12">
        <v>44445</v>
      </c>
      <c r="C387" s="22" t="s">
        <v>282</v>
      </c>
      <c r="D387" s="1" t="s">
        <v>9</v>
      </c>
      <c r="E387" s="3">
        <v>99828</v>
      </c>
      <c r="G387" s="9">
        <f t="shared" si="6"/>
        <v>2711423</v>
      </c>
    </row>
    <row r="388" spans="1:7" x14ac:dyDescent="0.2">
      <c r="A388" s="12">
        <v>44445</v>
      </c>
      <c r="C388" s="2" t="s">
        <v>84</v>
      </c>
      <c r="D388" s="1" t="s">
        <v>9</v>
      </c>
      <c r="F388" s="3">
        <v>487589</v>
      </c>
      <c r="G388" s="9">
        <f t="shared" si="6"/>
        <v>2223834</v>
      </c>
    </row>
    <row r="389" spans="1:7" x14ac:dyDescent="0.2">
      <c r="A389" s="12">
        <v>44445</v>
      </c>
      <c r="C389" s="22" t="s">
        <v>283</v>
      </c>
      <c r="D389" s="1" t="s">
        <v>9</v>
      </c>
      <c r="E389" s="3">
        <f>5192+508521+26078+415081+229840</f>
        <v>1184712</v>
      </c>
      <c r="G389" s="9">
        <f t="shared" si="6"/>
        <v>3408546</v>
      </c>
    </row>
    <row r="390" spans="1:7" x14ac:dyDescent="0.2">
      <c r="A390" s="12">
        <v>44446</v>
      </c>
      <c r="C390" s="22" t="s">
        <v>284</v>
      </c>
      <c r="D390" s="1" t="s">
        <v>9</v>
      </c>
      <c r="E390" s="3">
        <v>377194</v>
      </c>
      <c r="G390" s="9">
        <f t="shared" si="6"/>
        <v>3785740</v>
      </c>
    </row>
    <row r="391" spans="1:7" x14ac:dyDescent="0.2">
      <c r="A391" s="12">
        <v>44447</v>
      </c>
      <c r="C391" s="2" t="s">
        <v>52</v>
      </c>
      <c r="D391" s="1" t="s">
        <v>9</v>
      </c>
      <c r="E391" s="3">
        <v>900000</v>
      </c>
      <c r="G391" s="9">
        <f t="shared" si="6"/>
        <v>4685740</v>
      </c>
    </row>
    <row r="392" spans="1:7" x14ac:dyDescent="0.2">
      <c r="A392" s="12">
        <v>44447</v>
      </c>
      <c r="C392" s="2" t="s">
        <v>253</v>
      </c>
      <c r="D392" s="1" t="s">
        <v>9</v>
      </c>
      <c r="F392" s="3">
        <v>100</v>
      </c>
      <c r="G392" s="9">
        <f t="shared" si="6"/>
        <v>4685640</v>
      </c>
    </row>
    <row r="393" spans="1:7" x14ac:dyDescent="0.2">
      <c r="A393" s="12">
        <v>44447</v>
      </c>
      <c r="C393" s="22" t="s">
        <v>285</v>
      </c>
      <c r="D393" s="1" t="s">
        <v>9</v>
      </c>
      <c r="E393" s="3">
        <f>4779+158504+245251</f>
        <v>408534</v>
      </c>
      <c r="G393" s="9">
        <f t="shared" si="6"/>
        <v>5094174</v>
      </c>
    </row>
    <row r="394" spans="1:7" x14ac:dyDescent="0.2">
      <c r="A394" s="12">
        <v>44449</v>
      </c>
      <c r="C394" s="2" t="s">
        <v>264</v>
      </c>
      <c r="D394" s="1" t="s">
        <v>9</v>
      </c>
      <c r="F394" s="3">
        <f>376970</f>
        <v>376970</v>
      </c>
      <c r="G394" s="9">
        <f t="shared" si="6"/>
        <v>4717204</v>
      </c>
    </row>
    <row r="395" spans="1:7" x14ac:dyDescent="0.2">
      <c r="A395" s="12">
        <v>44449</v>
      </c>
      <c r="C395" s="2" t="s">
        <v>34</v>
      </c>
      <c r="D395" s="1" t="s">
        <v>9</v>
      </c>
      <c r="F395" s="3">
        <f>275+275</f>
        <v>550</v>
      </c>
      <c r="G395" s="9">
        <f t="shared" si="6"/>
        <v>4716654</v>
      </c>
    </row>
    <row r="396" spans="1:7" x14ac:dyDescent="0.2">
      <c r="A396" s="12">
        <v>44449</v>
      </c>
      <c r="C396" s="2" t="s">
        <v>286</v>
      </c>
      <c r="D396" s="1" t="s">
        <v>9</v>
      </c>
      <c r="F396" s="3">
        <f>1678761</f>
        <v>1678761</v>
      </c>
      <c r="G396" s="9">
        <f t="shared" si="6"/>
        <v>3037893</v>
      </c>
    </row>
    <row r="397" spans="1:7" x14ac:dyDescent="0.2">
      <c r="A397" s="12">
        <v>44449</v>
      </c>
      <c r="C397" s="2" t="s">
        <v>287</v>
      </c>
      <c r="D397" s="1" t="s">
        <v>9</v>
      </c>
      <c r="F397" s="3">
        <f>3757242</f>
        <v>3757242</v>
      </c>
      <c r="G397" s="9">
        <f t="shared" si="6"/>
        <v>-719349</v>
      </c>
    </row>
    <row r="398" spans="1:7" x14ac:dyDescent="0.2">
      <c r="A398" s="12">
        <v>44449</v>
      </c>
      <c r="B398" s="1" t="s">
        <v>288</v>
      </c>
      <c r="C398" s="2" t="s">
        <v>154</v>
      </c>
      <c r="D398" s="1" t="s">
        <v>9</v>
      </c>
      <c r="F398" s="3">
        <v>264130</v>
      </c>
      <c r="G398" s="9">
        <f t="shared" si="6"/>
        <v>-983479</v>
      </c>
    </row>
    <row r="399" spans="1:7" x14ac:dyDescent="0.2">
      <c r="A399" s="20">
        <v>44452</v>
      </c>
      <c r="B399" s="21"/>
      <c r="C399" s="22" t="s">
        <v>305</v>
      </c>
      <c r="D399" s="21" t="s">
        <v>9</v>
      </c>
      <c r="E399" s="23">
        <f>165499+167194+30418+246789</f>
        <v>609900</v>
      </c>
      <c r="F399" s="23"/>
      <c r="G399" s="9">
        <f t="shared" si="6"/>
        <v>-373579</v>
      </c>
    </row>
    <row r="400" spans="1:7" x14ac:dyDescent="0.2">
      <c r="A400" s="12">
        <v>44452</v>
      </c>
      <c r="C400" s="2" t="s">
        <v>292</v>
      </c>
      <c r="D400" s="1" t="s">
        <v>9</v>
      </c>
      <c r="E400" s="3">
        <v>2592360</v>
      </c>
      <c r="G400" s="9">
        <f t="shared" si="6"/>
        <v>2218781</v>
      </c>
    </row>
    <row r="401" spans="1:7" x14ac:dyDescent="0.2">
      <c r="A401" s="12">
        <v>44454</v>
      </c>
      <c r="C401" s="22" t="s">
        <v>290</v>
      </c>
      <c r="D401" s="1" t="s">
        <v>9</v>
      </c>
      <c r="E401" s="3">
        <f>15045+50150</f>
        <v>65195</v>
      </c>
      <c r="G401" s="9">
        <f t="shared" si="6"/>
        <v>2283976</v>
      </c>
    </row>
    <row r="402" spans="1:7" x14ac:dyDescent="0.2">
      <c r="A402" s="12">
        <v>44454</v>
      </c>
      <c r="C402" s="2" t="s">
        <v>291</v>
      </c>
      <c r="D402" s="1" t="s">
        <v>9</v>
      </c>
      <c r="E402" s="3">
        <v>385223</v>
      </c>
      <c r="G402" s="9">
        <f t="shared" si="6"/>
        <v>2669199</v>
      </c>
    </row>
    <row r="403" spans="1:7" x14ac:dyDescent="0.2">
      <c r="A403" s="12">
        <v>44454</v>
      </c>
      <c r="C403" s="2" t="s">
        <v>203</v>
      </c>
      <c r="D403" s="1" t="s">
        <v>9</v>
      </c>
      <c r="F403" s="3">
        <f>500000</f>
        <v>500000</v>
      </c>
      <c r="G403" s="9">
        <f t="shared" si="6"/>
        <v>2169199</v>
      </c>
    </row>
    <row r="404" spans="1:7" x14ac:dyDescent="0.2">
      <c r="A404" s="12">
        <v>44454</v>
      </c>
      <c r="C404" s="2" t="s">
        <v>289</v>
      </c>
      <c r="D404" s="1" t="s">
        <v>9</v>
      </c>
      <c r="F404" s="3">
        <f>1530000+275</f>
        <v>1530275</v>
      </c>
      <c r="G404" s="9">
        <f t="shared" si="6"/>
        <v>638924</v>
      </c>
    </row>
    <row r="405" spans="1:7" x14ac:dyDescent="0.2">
      <c r="A405" s="13">
        <v>44454</v>
      </c>
      <c r="B405" s="14"/>
      <c r="C405" s="15" t="s">
        <v>38</v>
      </c>
      <c r="D405" s="14" t="s">
        <v>9</v>
      </c>
      <c r="E405" s="16"/>
      <c r="F405" s="16">
        <f>2000+200</f>
        <v>2200</v>
      </c>
      <c r="G405" s="9">
        <f t="shared" si="6"/>
        <v>636724</v>
      </c>
    </row>
    <row r="406" spans="1:7" x14ac:dyDescent="0.2">
      <c r="A406" s="12">
        <v>44455</v>
      </c>
      <c r="C406" s="2" t="s">
        <v>304</v>
      </c>
      <c r="D406" s="1" t="s">
        <v>9</v>
      </c>
      <c r="F406" s="3">
        <f>1000000+3300</f>
        <v>1003300</v>
      </c>
      <c r="G406" s="9">
        <f t="shared" si="6"/>
        <v>-366576</v>
      </c>
    </row>
    <row r="407" spans="1:7" x14ac:dyDescent="0.2">
      <c r="A407" s="12">
        <v>44459</v>
      </c>
      <c r="C407" s="22" t="s">
        <v>293</v>
      </c>
      <c r="D407" s="1" t="s">
        <v>9</v>
      </c>
      <c r="E407" s="3">
        <f>124136+31861+92132+135828+39003+77408+65320</f>
        <v>565688</v>
      </c>
      <c r="G407" s="9">
        <f t="shared" si="6"/>
        <v>199112</v>
      </c>
    </row>
    <row r="408" spans="1:7" x14ac:dyDescent="0.2">
      <c r="A408" s="12">
        <v>44459</v>
      </c>
      <c r="C408" s="22" t="s">
        <v>294</v>
      </c>
      <c r="D408" s="1" t="s">
        <v>9</v>
      </c>
      <c r="E408" s="3">
        <f>762374+162804</f>
        <v>925178</v>
      </c>
      <c r="G408" s="9">
        <f t="shared" si="6"/>
        <v>1124290</v>
      </c>
    </row>
    <row r="409" spans="1:7" x14ac:dyDescent="0.2">
      <c r="A409" s="12">
        <v>44459</v>
      </c>
      <c r="C409" s="2" t="s">
        <v>301</v>
      </c>
      <c r="D409" s="1" t="s">
        <v>9</v>
      </c>
      <c r="F409" s="3">
        <f>2547435+88727</f>
        <v>2636162</v>
      </c>
      <c r="G409" s="9">
        <f t="shared" si="6"/>
        <v>-1511872</v>
      </c>
    </row>
    <row r="410" spans="1:7" x14ac:dyDescent="0.2">
      <c r="A410" s="12">
        <v>44459</v>
      </c>
      <c r="C410" s="2" t="s">
        <v>35</v>
      </c>
      <c r="D410" s="1" t="s">
        <v>9</v>
      </c>
      <c r="F410" s="3">
        <v>6600</v>
      </c>
      <c r="G410" s="9">
        <f t="shared" si="6"/>
        <v>-1518472</v>
      </c>
    </row>
    <row r="411" spans="1:7" x14ac:dyDescent="0.2">
      <c r="A411" s="12">
        <v>44459</v>
      </c>
      <c r="C411" s="2" t="s">
        <v>302</v>
      </c>
      <c r="D411" s="1" t="s">
        <v>9</v>
      </c>
      <c r="F411" s="3">
        <f>4101391+119428</f>
        <v>4220819</v>
      </c>
      <c r="G411" s="9">
        <f t="shared" si="6"/>
        <v>-5739291</v>
      </c>
    </row>
    <row r="412" spans="1:7" x14ac:dyDescent="0.2">
      <c r="A412" s="12">
        <v>44459</v>
      </c>
      <c r="C412" s="2" t="s">
        <v>303</v>
      </c>
      <c r="D412" s="1" t="s">
        <v>9</v>
      </c>
      <c r="F412" s="3">
        <f>3131125+100261</f>
        <v>3231386</v>
      </c>
      <c r="G412" s="9">
        <f t="shared" si="6"/>
        <v>-8970677</v>
      </c>
    </row>
    <row r="413" spans="1:7" x14ac:dyDescent="0.2">
      <c r="A413" s="12">
        <v>44460</v>
      </c>
      <c r="C413" s="2" t="s">
        <v>300</v>
      </c>
      <c r="D413" s="1" t="s">
        <v>9</v>
      </c>
      <c r="E413" s="3">
        <v>12700000</v>
      </c>
      <c r="G413" s="9">
        <f t="shared" si="6"/>
        <v>3729323</v>
      </c>
    </row>
    <row r="414" spans="1:7" x14ac:dyDescent="0.2">
      <c r="A414" s="12">
        <v>44460</v>
      </c>
      <c r="C414" s="2" t="s">
        <v>299</v>
      </c>
      <c r="D414" s="1" t="s">
        <v>9</v>
      </c>
      <c r="E414" s="3">
        <v>234909</v>
      </c>
      <c r="G414" s="9">
        <f t="shared" si="6"/>
        <v>3964232</v>
      </c>
    </row>
    <row r="415" spans="1:7" x14ac:dyDescent="0.2">
      <c r="A415" s="12">
        <v>44461</v>
      </c>
      <c r="C415" s="2" t="s">
        <v>76</v>
      </c>
      <c r="D415" s="1" t="s">
        <v>9</v>
      </c>
      <c r="E415" s="3">
        <v>24544</v>
      </c>
      <c r="G415" s="9">
        <f t="shared" si="6"/>
        <v>3988776</v>
      </c>
    </row>
    <row r="416" spans="1:7" x14ac:dyDescent="0.2">
      <c r="A416" s="12">
        <v>44463</v>
      </c>
      <c r="C416" s="22" t="s">
        <v>295</v>
      </c>
      <c r="D416" s="1" t="s">
        <v>9</v>
      </c>
      <c r="E416" s="3">
        <f>144196+60982+68237+1373803+111921</f>
        <v>1759139</v>
      </c>
      <c r="G416" s="9">
        <f t="shared" si="6"/>
        <v>5747915</v>
      </c>
    </row>
    <row r="417" spans="1:7" x14ac:dyDescent="0.2">
      <c r="A417" s="12">
        <v>44463</v>
      </c>
      <c r="C417" s="2" t="s">
        <v>296</v>
      </c>
      <c r="D417" s="1" t="s">
        <v>9</v>
      </c>
      <c r="E417" s="3">
        <v>1702000</v>
      </c>
      <c r="G417" s="9">
        <f t="shared" si="6"/>
        <v>7449915</v>
      </c>
    </row>
    <row r="418" spans="1:7" x14ac:dyDescent="0.2">
      <c r="A418" s="12">
        <v>44463</v>
      </c>
      <c r="C418" s="2" t="s">
        <v>253</v>
      </c>
      <c r="D418" s="1" t="s">
        <v>9</v>
      </c>
      <c r="F418" s="3">
        <v>100</v>
      </c>
      <c r="G418" s="9">
        <f t="shared" si="6"/>
        <v>7449815</v>
      </c>
    </row>
    <row r="419" spans="1:7" x14ac:dyDescent="0.2">
      <c r="A419" s="12">
        <v>44466</v>
      </c>
      <c r="B419" s="1" t="s">
        <v>297</v>
      </c>
      <c r="C419" s="2" t="s">
        <v>234</v>
      </c>
      <c r="D419" s="1" t="s">
        <v>9</v>
      </c>
      <c r="F419" s="3">
        <v>270000</v>
      </c>
      <c r="G419" s="9">
        <f t="shared" si="6"/>
        <v>7179815</v>
      </c>
    </row>
    <row r="420" spans="1:7" x14ac:dyDescent="0.2">
      <c r="A420" s="12">
        <v>44466</v>
      </c>
      <c r="B420" s="1" t="s">
        <v>298</v>
      </c>
      <c r="C420" s="2" t="s">
        <v>150</v>
      </c>
      <c r="D420" s="1" t="s">
        <v>9</v>
      </c>
      <c r="F420" s="3">
        <v>220000</v>
      </c>
      <c r="G420" s="9">
        <f t="shared" si="6"/>
        <v>6959815</v>
      </c>
    </row>
    <row r="421" spans="1:7" x14ac:dyDescent="0.2">
      <c r="A421" s="12">
        <v>44468</v>
      </c>
      <c r="C421" s="2" t="s">
        <v>309</v>
      </c>
      <c r="D421" s="1" t="s">
        <v>9</v>
      </c>
      <c r="F421" s="3">
        <v>5000000</v>
      </c>
      <c r="G421" s="9">
        <f t="shared" si="6"/>
        <v>1959815</v>
      </c>
    </row>
    <row r="422" spans="1:7" x14ac:dyDescent="0.2">
      <c r="A422" s="12">
        <v>44469</v>
      </c>
      <c r="C422" s="22" t="s">
        <v>306</v>
      </c>
      <c r="D422" s="1" t="s">
        <v>9</v>
      </c>
      <c r="E422" s="3">
        <f>27081+48587+61632</f>
        <v>137300</v>
      </c>
      <c r="G422" s="9">
        <f t="shared" si="6"/>
        <v>2097115</v>
      </c>
    </row>
    <row r="423" spans="1:7" x14ac:dyDescent="0.2">
      <c r="A423" s="12">
        <v>44469</v>
      </c>
      <c r="C423" s="22" t="s">
        <v>307</v>
      </c>
      <c r="D423" s="1" t="s">
        <v>9</v>
      </c>
      <c r="E423" s="3">
        <v>520952</v>
      </c>
      <c r="G423" s="9">
        <f t="shared" si="6"/>
        <v>2618067</v>
      </c>
    </row>
    <row r="424" spans="1:7" x14ac:dyDescent="0.2">
      <c r="A424" s="12">
        <v>44469</v>
      </c>
      <c r="C424" s="22" t="s">
        <v>308</v>
      </c>
      <c r="D424" s="1" t="s">
        <v>9</v>
      </c>
      <c r="E424" s="3">
        <v>203259</v>
      </c>
      <c r="G424" s="9">
        <f t="shared" si="6"/>
        <v>2821326</v>
      </c>
    </row>
    <row r="425" spans="1:7" x14ac:dyDescent="0.2">
      <c r="A425" s="12">
        <v>44469</v>
      </c>
      <c r="C425" s="2" t="s">
        <v>353</v>
      </c>
      <c r="D425" s="1" t="s">
        <v>9</v>
      </c>
      <c r="F425" s="3">
        <v>1781184</v>
      </c>
      <c r="G425" s="9">
        <f t="shared" si="6"/>
        <v>1040142</v>
      </c>
    </row>
    <row r="426" spans="1:7" x14ac:dyDescent="0.2">
      <c r="A426" s="12">
        <v>44469</v>
      </c>
      <c r="C426" s="2" t="s">
        <v>34</v>
      </c>
      <c r="D426" s="1" t="s">
        <v>9</v>
      </c>
      <c r="F426" s="3">
        <v>1100</v>
      </c>
      <c r="G426" s="9">
        <f t="shared" ref="G426:G427" si="7">G425+E426-F426</f>
        <v>1039042</v>
      </c>
    </row>
    <row r="427" spans="1:7" x14ac:dyDescent="0.2">
      <c r="A427" s="12">
        <v>44469</v>
      </c>
      <c r="C427" s="2" t="s">
        <v>310</v>
      </c>
      <c r="D427" s="1" t="s">
        <v>9</v>
      </c>
      <c r="F427" s="3">
        <v>74265</v>
      </c>
      <c r="G427" s="9">
        <f t="shared" si="7"/>
        <v>964777</v>
      </c>
    </row>
    <row r="428" spans="1:7" ht="15.75" x14ac:dyDescent="0.25">
      <c r="A428" s="10" t="s">
        <v>321</v>
      </c>
      <c r="G428" s="9"/>
    </row>
    <row r="429" spans="1:7" x14ac:dyDescent="0.2">
      <c r="A429" s="11" t="s">
        <v>2</v>
      </c>
      <c r="B429" s="5" t="s">
        <v>1</v>
      </c>
      <c r="C429" s="5" t="s">
        <v>3</v>
      </c>
      <c r="D429" s="5"/>
      <c r="E429" s="7" t="s">
        <v>4</v>
      </c>
      <c r="F429" s="7" t="s">
        <v>6</v>
      </c>
      <c r="G429" s="8" t="s">
        <v>5</v>
      </c>
    </row>
    <row r="430" spans="1:7" x14ac:dyDescent="0.2">
      <c r="A430" s="12">
        <v>44470</v>
      </c>
      <c r="C430" s="2" t="s">
        <v>311</v>
      </c>
      <c r="D430" s="1" t="s">
        <v>9</v>
      </c>
      <c r="F430" s="3">
        <f>3131125+100261</f>
        <v>3231386</v>
      </c>
      <c r="G430" s="9">
        <f>G427+E430-F430</f>
        <v>-2266609</v>
      </c>
    </row>
    <row r="431" spans="1:7" x14ac:dyDescent="0.2">
      <c r="A431" s="12">
        <v>44470</v>
      </c>
      <c r="C431" s="2" t="s">
        <v>312</v>
      </c>
      <c r="D431" s="1" t="s">
        <v>9</v>
      </c>
      <c r="F431" s="3">
        <f>6148633+159854</f>
        <v>6308487</v>
      </c>
      <c r="G431" s="9">
        <f t="shared" ref="G431:G501" si="8">G430+E431-F431</f>
        <v>-8575096</v>
      </c>
    </row>
    <row r="432" spans="1:7" x14ac:dyDescent="0.2">
      <c r="A432" s="12">
        <v>44470</v>
      </c>
      <c r="B432" s="1" t="s">
        <v>317</v>
      </c>
      <c r="C432" s="2" t="s">
        <v>313</v>
      </c>
      <c r="D432" s="1" t="s">
        <v>9</v>
      </c>
      <c r="F432" s="3">
        <v>790000</v>
      </c>
      <c r="G432" s="9">
        <f t="shared" si="8"/>
        <v>-9365096</v>
      </c>
    </row>
    <row r="433" spans="1:7" x14ac:dyDescent="0.2">
      <c r="A433" s="12">
        <v>44470</v>
      </c>
      <c r="C433" s="2" t="s">
        <v>319</v>
      </c>
      <c r="D433" s="1" t="s">
        <v>9</v>
      </c>
      <c r="E433" s="3">
        <v>5000000</v>
      </c>
      <c r="G433" s="9">
        <f t="shared" si="8"/>
        <v>-4365096</v>
      </c>
    </row>
    <row r="434" spans="1:7" x14ac:dyDescent="0.2">
      <c r="A434" s="12">
        <v>44471</v>
      </c>
      <c r="C434" s="2" t="s">
        <v>316</v>
      </c>
      <c r="D434" s="1" t="s">
        <v>9</v>
      </c>
      <c r="E434" s="3">
        <v>132781</v>
      </c>
      <c r="G434" s="9">
        <f t="shared" si="8"/>
        <v>-4232315</v>
      </c>
    </row>
    <row r="435" spans="1:7" x14ac:dyDescent="0.2">
      <c r="A435" s="12">
        <v>44473</v>
      </c>
      <c r="C435" s="22" t="s">
        <v>314</v>
      </c>
      <c r="D435" s="1" t="s">
        <v>9</v>
      </c>
      <c r="E435" s="3">
        <f>117219+213285</f>
        <v>330504</v>
      </c>
      <c r="G435" s="9">
        <f t="shared" si="8"/>
        <v>-3901811</v>
      </c>
    </row>
    <row r="436" spans="1:7" x14ac:dyDescent="0.2">
      <c r="A436" s="12">
        <v>44473</v>
      </c>
      <c r="C436" s="22" t="s">
        <v>315</v>
      </c>
      <c r="D436" s="1" t="s">
        <v>9</v>
      </c>
      <c r="E436" s="3">
        <v>285855</v>
      </c>
      <c r="G436" s="9">
        <f t="shared" si="8"/>
        <v>-3615956</v>
      </c>
    </row>
    <row r="437" spans="1:7" x14ac:dyDescent="0.2">
      <c r="A437" s="12">
        <v>44473</v>
      </c>
      <c r="C437" s="2" t="s">
        <v>318</v>
      </c>
      <c r="D437" s="1" t="s">
        <v>9</v>
      </c>
      <c r="F437" s="3">
        <f>520952+6600</f>
        <v>527552</v>
      </c>
      <c r="G437" s="9">
        <f t="shared" si="8"/>
        <v>-4143508</v>
      </c>
    </row>
    <row r="438" spans="1:7" x14ac:dyDescent="0.2">
      <c r="A438" s="12">
        <v>44473</v>
      </c>
      <c r="C438" s="2" t="s">
        <v>258</v>
      </c>
      <c r="D438" s="1" t="s">
        <v>9</v>
      </c>
      <c r="E438" s="3">
        <v>34000</v>
      </c>
      <c r="G438" s="9">
        <f t="shared" si="8"/>
        <v>-4109508</v>
      </c>
    </row>
    <row r="439" spans="1:7" x14ac:dyDescent="0.2">
      <c r="A439" s="12">
        <v>44474</v>
      </c>
      <c r="C439" s="2" t="s">
        <v>320</v>
      </c>
      <c r="D439" s="1" t="s">
        <v>9</v>
      </c>
      <c r="F439" s="3">
        <f>1232879</f>
        <v>1232879</v>
      </c>
      <c r="G439" s="9">
        <f t="shared" si="8"/>
        <v>-5342387</v>
      </c>
    </row>
    <row r="440" spans="1:7" x14ac:dyDescent="0.2">
      <c r="A440" s="12">
        <v>44474</v>
      </c>
      <c r="C440" s="2" t="s">
        <v>84</v>
      </c>
      <c r="D440" s="1" t="s">
        <v>9</v>
      </c>
      <c r="F440" s="3">
        <v>487589</v>
      </c>
      <c r="G440" s="9">
        <f t="shared" si="8"/>
        <v>-5829976</v>
      </c>
    </row>
    <row r="441" spans="1:7" x14ac:dyDescent="0.2">
      <c r="A441" s="12">
        <v>44474</v>
      </c>
      <c r="C441" s="2" t="s">
        <v>346</v>
      </c>
      <c r="D441" s="1" t="s">
        <v>9</v>
      </c>
      <c r="F441" s="3">
        <f>2000+200</f>
        <v>2200</v>
      </c>
      <c r="G441" s="9">
        <f t="shared" si="8"/>
        <v>-5832176</v>
      </c>
    </row>
    <row r="442" spans="1:7" x14ac:dyDescent="0.2">
      <c r="A442" s="12">
        <v>44475</v>
      </c>
      <c r="C442" s="22" t="s">
        <v>322</v>
      </c>
      <c r="D442" s="1" t="s">
        <v>9</v>
      </c>
      <c r="E442" s="3">
        <f>254376+398250+16815+315118+207321</f>
        <v>1191880</v>
      </c>
      <c r="G442" s="9">
        <f t="shared" si="8"/>
        <v>-4640296</v>
      </c>
    </row>
    <row r="443" spans="1:7" x14ac:dyDescent="0.2">
      <c r="A443" s="12">
        <v>44476</v>
      </c>
      <c r="C443" s="22" t="s">
        <v>323</v>
      </c>
      <c r="D443" s="1" t="s">
        <v>9</v>
      </c>
      <c r="E443" s="3">
        <v>95285</v>
      </c>
      <c r="G443" s="9">
        <f t="shared" si="8"/>
        <v>-4545011</v>
      </c>
    </row>
    <row r="444" spans="1:7" x14ac:dyDescent="0.2">
      <c r="A444" s="12">
        <v>44476</v>
      </c>
      <c r="C444" s="22" t="s">
        <v>324</v>
      </c>
      <c r="D444" s="1" t="s">
        <v>9</v>
      </c>
      <c r="E444" s="3">
        <v>695124</v>
      </c>
      <c r="G444" s="9">
        <f t="shared" si="8"/>
        <v>-3849887</v>
      </c>
    </row>
    <row r="445" spans="1:7" x14ac:dyDescent="0.2">
      <c r="A445" s="12">
        <v>44480</v>
      </c>
      <c r="C445" s="2" t="s">
        <v>345</v>
      </c>
      <c r="D445" s="1" t="s">
        <v>9</v>
      </c>
      <c r="E445" s="3">
        <v>119475</v>
      </c>
      <c r="G445" s="9">
        <f t="shared" si="8"/>
        <v>-3730412</v>
      </c>
    </row>
    <row r="446" spans="1:7" x14ac:dyDescent="0.2">
      <c r="A446" s="12">
        <v>44480</v>
      </c>
      <c r="C446" s="18" t="s">
        <v>325</v>
      </c>
      <c r="D446" s="1" t="s">
        <v>9</v>
      </c>
      <c r="F446" s="3">
        <f>224337+275</f>
        <v>224612</v>
      </c>
      <c r="G446" s="9">
        <f t="shared" si="8"/>
        <v>-3955024</v>
      </c>
    </row>
    <row r="447" spans="1:7" x14ac:dyDescent="0.2">
      <c r="A447" s="12">
        <v>44480</v>
      </c>
      <c r="C447" s="18" t="s">
        <v>326</v>
      </c>
      <c r="D447" s="1" t="s">
        <v>9</v>
      </c>
      <c r="F447" s="3">
        <f>136456+275</f>
        <v>136731</v>
      </c>
      <c r="G447" s="9">
        <f t="shared" si="8"/>
        <v>-4091755</v>
      </c>
    </row>
    <row r="448" spans="1:7" x14ac:dyDescent="0.2">
      <c r="A448" s="12">
        <v>44480</v>
      </c>
      <c r="C448" s="18" t="s">
        <v>327</v>
      </c>
      <c r="D448" s="1" t="s">
        <v>9</v>
      </c>
      <c r="F448" s="3">
        <f>375000+275</f>
        <v>375275</v>
      </c>
      <c r="G448" s="9">
        <f t="shared" si="8"/>
        <v>-4467030</v>
      </c>
    </row>
    <row r="449" spans="1:7" x14ac:dyDescent="0.2">
      <c r="A449" s="12">
        <v>44480</v>
      </c>
      <c r="C449" s="18" t="s">
        <v>328</v>
      </c>
      <c r="D449" s="1" t="s">
        <v>9</v>
      </c>
      <c r="F449" s="3">
        <f>186482+275</f>
        <v>186757</v>
      </c>
      <c r="G449" s="9">
        <f t="shared" si="8"/>
        <v>-4653787</v>
      </c>
    </row>
    <row r="450" spans="1:7" x14ac:dyDescent="0.2">
      <c r="A450" s="12">
        <v>44480</v>
      </c>
      <c r="C450" s="18" t="s">
        <v>329</v>
      </c>
      <c r="D450" s="1" t="s">
        <v>9</v>
      </c>
      <c r="F450" s="3">
        <f>55914</f>
        <v>55914</v>
      </c>
      <c r="G450" s="9">
        <f t="shared" si="8"/>
        <v>-4709701</v>
      </c>
    </row>
    <row r="451" spans="1:7" x14ac:dyDescent="0.2">
      <c r="A451" s="12">
        <v>44480</v>
      </c>
      <c r="C451" s="18" t="s">
        <v>330</v>
      </c>
      <c r="D451" s="1" t="s">
        <v>9</v>
      </c>
      <c r="F451" s="3">
        <f>381629+275</f>
        <v>381904</v>
      </c>
      <c r="G451" s="9">
        <f t="shared" si="8"/>
        <v>-5091605</v>
      </c>
    </row>
    <row r="452" spans="1:7" x14ac:dyDescent="0.2">
      <c r="A452" s="12">
        <v>44480</v>
      </c>
      <c r="C452" s="18" t="s">
        <v>331</v>
      </c>
      <c r="D452" s="1" t="s">
        <v>9</v>
      </c>
      <c r="F452" s="3">
        <f>733459</f>
        <v>733459</v>
      </c>
      <c r="G452" s="9">
        <f t="shared" si="8"/>
        <v>-5825064</v>
      </c>
    </row>
    <row r="453" spans="1:7" x14ac:dyDescent="0.2">
      <c r="A453" s="12">
        <v>44480</v>
      </c>
      <c r="C453" s="18" t="s">
        <v>332</v>
      </c>
      <c r="D453" s="1" t="s">
        <v>9</v>
      </c>
      <c r="F453" s="3">
        <f>441468</f>
        <v>441468</v>
      </c>
      <c r="G453" s="9">
        <f t="shared" si="8"/>
        <v>-6266532</v>
      </c>
    </row>
    <row r="454" spans="1:7" x14ac:dyDescent="0.2">
      <c r="A454" s="12">
        <v>44480</v>
      </c>
      <c r="C454" s="18" t="s">
        <v>333</v>
      </c>
      <c r="D454" s="25" t="s">
        <v>9</v>
      </c>
      <c r="F454" s="3">
        <f>1800000+275</f>
        <v>1800275</v>
      </c>
      <c r="G454" s="9">
        <f t="shared" si="8"/>
        <v>-8066807</v>
      </c>
    </row>
    <row r="455" spans="1:7" x14ac:dyDescent="0.2">
      <c r="A455" s="12">
        <v>44480</v>
      </c>
      <c r="C455" s="18" t="s">
        <v>334</v>
      </c>
      <c r="D455" s="1" t="s">
        <v>9</v>
      </c>
      <c r="F455" s="3">
        <f>432906+275</f>
        <v>433181</v>
      </c>
      <c r="G455" s="9">
        <f t="shared" si="8"/>
        <v>-8499988</v>
      </c>
    </row>
    <row r="456" spans="1:7" x14ac:dyDescent="0.2">
      <c r="A456" s="12">
        <v>44480</v>
      </c>
      <c r="C456" s="22" t="s">
        <v>335</v>
      </c>
      <c r="D456" s="1" t="s">
        <v>9</v>
      </c>
      <c r="E456" s="3">
        <f>126024+384402+125051+307801+345287+738850</f>
        <v>2027415</v>
      </c>
      <c r="G456" s="9">
        <f t="shared" si="8"/>
        <v>-6472573</v>
      </c>
    </row>
    <row r="457" spans="1:7" x14ac:dyDescent="0.2">
      <c r="A457" s="12">
        <v>44481</v>
      </c>
      <c r="C457" s="2" t="s">
        <v>344</v>
      </c>
      <c r="D457" s="1" t="s">
        <v>9</v>
      </c>
      <c r="E457" s="3">
        <v>520952</v>
      </c>
      <c r="G457" s="9">
        <f t="shared" si="8"/>
        <v>-5951621</v>
      </c>
    </row>
    <row r="458" spans="1:7" x14ac:dyDescent="0.2">
      <c r="A458" s="20">
        <v>44481</v>
      </c>
      <c r="B458" s="21"/>
      <c r="C458" s="22" t="s">
        <v>116</v>
      </c>
      <c r="D458" s="21" t="s">
        <v>9</v>
      </c>
      <c r="E458" s="23">
        <v>589872</v>
      </c>
      <c r="F458" s="23"/>
      <c r="G458" s="9">
        <f t="shared" si="8"/>
        <v>-5361749</v>
      </c>
    </row>
    <row r="459" spans="1:7" x14ac:dyDescent="0.2">
      <c r="A459" s="12">
        <v>44481</v>
      </c>
      <c r="C459" s="22" t="s">
        <v>336</v>
      </c>
      <c r="D459" s="1" t="s">
        <v>9</v>
      </c>
      <c r="E459" s="3">
        <f>23871+172988+764687</f>
        <v>961546</v>
      </c>
      <c r="G459" s="9">
        <f t="shared" si="8"/>
        <v>-4400203</v>
      </c>
    </row>
    <row r="460" spans="1:7" x14ac:dyDescent="0.2">
      <c r="A460" s="12">
        <v>44482</v>
      </c>
      <c r="C460" s="2" t="s">
        <v>296</v>
      </c>
      <c r="D460" s="1" t="s">
        <v>9</v>
      </c>
      <c r="E460" s="3">
        <v>800000</v>
      </c>
      <c r="G460" s="9">
        <f t="shared" si="8"/>
        <v>-3600203</v>
      </c>
    </row>
    <row r="461" spans="1:7" x14ac:dyDescent="0.2">
      <c r="A461" s="12">
        <v>44482</v>
      </c>
      <c r="C461" s="2" t="s">
        <v>253</v>
      </c>
      <c r="D461" s="1" t="s">
        <v>9</v>
      </c>
      <c r="F461" s="3">
        <v>100</v>
      </c>
      <c r="G461" s="9">
        <f t="shared" si="8"/>
        <v>-3600303</v>
      </c>
    </row>
    <row r="462" spans="1:7" x14ac:dyDescent="0.2">
      <c r="A462" s="12">
        <v>44482</v>
      </c>
      <c r="C462" s="22" t="s">
        <v>338</v>
      </c>
      <c r="D462" s="1" t="s">
        <v>9</v>
      </c>
      <c r="E462" s="3">
        <f>16520+641820+48736+31506</f>
        <v>738582</v>
      </c>
      <c r="G462" s="9">
        <f t="shared" si="8"/>
        <v>-2861721</v>
      </c>
    </row>
    <row r="463" spans="1:7" x14ac:dyDescent="0.2">
      <c r="A463" s="12">
        <v>44484</v>
      </c>
      <c r="C463" s="2" t="s">
        <v>337</v>
      </c>
      <c r="D463" s="1" t="s">
        <v>9</v>
      </c>
      <c r="F463" s="3">
        <f>678500</f>
        <v>678500</v>
      </c>
      <c r="G463" s="9">
        <f t="shared" si="8"/>
        <v>-3540221</v>
      </c>
    </row>
    <row r="464" spans="1:7" x14ac:dyDescent="0.2">
      <c r="A464" s="12">
        <v>44484</v>
      </c>
      <c r="C464" s="2" t="s">
        <v>319</v>
      </c>
      <c r="D464" s="1" t="s">
        <v>9</v>
      </c>
      <c r="E464" s="3">
        <v>5000000</v>
      </c>
      <c r="G464" s="9">
        <f t="shared" si="8"/>
        <v>1459779</v>
      </c>
    </row>
    <row r="465" spans="1:7" x14ac:dyDescent="0.2">
      <c r="A465" s="12">
        <v>44484</v>
      </c>
      <c r="C465" s="2" t="s">
        <v>339</v>
      </c>
      <c r="D465" s="1" t="s">
        <v>9</v>
      </c>
      <c r="F465" s="3">
        <f>986186+3300</f>
        <v>989486</v>
      </c>
      <c r="G465" s="9">
        <f t="shared" si="8"/>
        <v>470293</v>
      </c>
    </row>
    <row r="466" spans="1:7" x14ac:dyDescent="0.2">
      <c r="A466" s="12">
        <v>44484</v>
      </c>
      <c r="C466" s="2" t="s">
        <v>339</v>
      </c>
      <c r="D466" s="1" t="s">
        <v>9</v>
      </c>
      <c r="F466" s="3">
        <f>52749+3300</f>
        <v>56049</v>
      </c>
      <c r="G466" s="9">
        <f t="shared" si="8"/>
        <v>414244</v>
      </c>
    </row>
    <row r="467" spans="1:7" x14ac:dyDescent="0.2">
      <c r="A467" s="12">
        <v>44484</v>
      </c>
      <c r="C467" s="22" t="s">
        <v>342</v>
      </c>
      <c r="D467" s="1" t="s">
        <v>9</v>
      </c>
      <c r="E467" s="3">
        <f>35105+1790001+508020</f>
        <v>2333126</v>
      </c>
      <c r="G467" s="9">
        <f t="shared" si="8"/>
        <v>2747370</v>
      </c>
    </row>
    <row r="468" spans="1:7" x14ac:dyDescent="0.2">
      <c r="A468" s="12">
        <v>44484</v>
      </c>
      <c r="C468" s="22" t="s">
        <v>341</v>
      </c>
      <c r="D468" s="1" t="s">
        <v>9</v>
      </c>
      <c r="E468" s="3">
        <v>3932399</v>
      </c>
      <c r="G468" s="9">
        <f t="shared" si="8"/>
        <v>6679769</v>
      </c>
    </row>
    <row r="469" spans="1:7" x14ac:dyDescent="0.2">
      <c r="A469" s="12">
        <v>44487</v>
      </c>
      <c r="C469" s="2" t="s">
        <v>340</v>
      </c>
      <c r="D469" s="1" t="s">
        <v>9</v>
      </c>
      <c r="F469" s="3">
        <f>979098</f>
        <v>979098</v>
      </c>
      <c r="G469" s="9">
        <f t="shared" si="8"/>
        <v>5700671</v>
      </c>
    </row>
    <row r="470" spans="1:7" x14ac:dyDescent="0.2">
      <c r="A470" s="12">
        <v>44488</v>
      </c>
      <c r="C470" s="2" t="s">
        <v>35</v>
      </c>
      <c r="D470" s="1" t="s">
        <v>9</v>
      </c>
      <c r="F470" s="3">
        <v>6600</v>
      </c>
      <c r="G470" s="9">
        <f t="shared" si="8"/>
        <v>5694071</v>
      </c>
    </row>
    <row r="471" spans="1:7" x14ac:dyDescent="0.2">
      <c r="A471" s="12">
        <v>44488</v>
      </c>
      <c r="C471" s="2" t="s">
        <v>343</v>
      </c>
      <c r="D471" s="1" t="s">
        <v>9</v>
      </c>
      <c r="F471" s="3">
        <v>6600</v>
      </c>
      <c r="G471" s="9">
        <f t="shared" si="8"/>
        <v>5687471</v>
      </c>
    </row>
    <row r="472" spans="1:7" x14ac:dyDescent="0.2">
      <c r="A472" s="12">
        <v>44488</v>
      </c>
      <c r="C472" s="2" t="s">
        <v>343</v>
      </c>
      <c r="D472" s="1" t="s">
        <v>9</v>
      </c>
      <c r="F472" s="3">
        <v>16520</v>
      </c>
      <c r="G472" s="9">
        <f t="shared" si="8"/>
        <v>5670951</v>
      </c>
    </row>
    <row r="473" spans="1:7" x14ac:dyDescent="0.2">
      <c r="A473" s="20">
        <v>44490</v>
      </c>
      <c r="B473" s="21" t="s">
        <v>352</v>
      </c>
      <c r="C473" s="22" t="s">
        <v>237</v>
      </c>
      <c r="D473" s="21" t="s">
        <v>9</v>
      </c>
      <c r="E473" s="23"/>
      <c r="F473" s="23">
        <v>1277097</v>
      </c>
      <c r="G473" s="9">
        <f t="shared" si="8"/>
        <v>4393854</v>
      </c>
    </row>
    <row r="474" spans="1:7" x14ac:dyDescent="0.2">
      <c r="A474" s="12">
        <v>44491</v>
      </c>
      <c r="C474" s="22" t="s">
        <v>347</v>
      </c>
      <c r="D474" s="1" t="s">
        <v>9</v>
      </c>
      <c r="E474" s="3">
        <f>195038+316619+476681+105315+418694+62304</f>
        <v>1574651</v>
      </c>
      <c r="G474" s="9">
        <f t="shared" si="8"/>
        <v>5968505</v>
      </c>
    </row>
    <row r="475" spans="1:7" x14ac:dyDescent="0.2">
      <c r="A475" s="12">
        <v>44494</v>
      </c>
      <c r="C475" s="2" t="s">
        <v>27</v>
      </c>
      <c r="D475" s="1" t="s">
        <v>9</v>
      </c>
      <c r="F475" s="3">
        <v>150000</v>
      </c>
      <c r="G475" s="9">
        <f t="shared" si="8"/>
        <v>5818505</v>
      </c>
    </row>
    <row r="476" spans="1:7" x14ac:dyDescent="0.2">
      <c r="A476" s="12">
        <v>44494</v>
      </c>
      <c r="C476" s="2" t="s">
        <v>189</v>
      </c>
      <c r="D476" s="1" t="s">
        <v>9</v>
      </c>
      <c r="E476" s="3">
        <v>126496</v>
      </c>
      <c r="G476" s="9">
        <f t="shared" si="8"/>
        <v>5945001</v>
      </c>
    </row>
    <row r="477" spans="1:7" x14ac:dyDescent="0.2">
      <c r="A477" s="12">
        <v>44495</v>
      </c>
      <c r="C477" s="22" t="s">
        <v>348</v>
      </c>
      <c r="D477" s="1" t="s">
        <v>9</v>
      </c>
      <c r="E477" s="3">
        <f>33908+761653+43923</f>
        <v>839484</v>
      </c>
      <c r="G477" s="9">
        <f t="shared" si="8"/>
        <v>6784485</v>
      </c>
    </row>
    <row r="478" spans="1:7" x14ac:dyDescent="0.2">
      <c r="A478" s="12">
        <v>44497</v>
      </c>
      <c r="C478" s="2" t="s">
        <v>260</v>
      </c>
      <c r="D478" s="1" t="s">
        <v>9</v>
      </c>
      <c r="E478" s="3">
        <v>19520</v>
      </c>
      <c r="G478" s="9">
        <f t="shared" si="8"/>
        <v>6804005</v>
      </c>
    </row>
    <row r="479" spans="1:7" x14ac:dyDescent="0.2">
      <c r="A479" s="12">
        <v>44498</v>
      </c>
      <c r="C479" s="2" t="s">
        <v>350</v>
      </c>
      <c r="D479" s="1" t="s">
        <v>9</v>
      </c>
      <c r="F479" s="3">
        <v>73830</v>
      </c>
      <c r="G479" s="9">
        <f t="shared" si="8"/>
        <v>6730175</v>
      </c>
    </row>
    <row r="480" spans="1:7" x14ac:dyDescent="0.2">
      <c r="A480" s="12">
        <v>44498</v>
      </c>
      <c r="C480" s="2" t="s">
        <v>351</v>
      </c>
      <c r="D480" s="1" t="s">
        <v>9</v>
      </c>
      <c r="E480" s="3">
        <v>681450</v>
      </c>
      <c r="G480" s="9">
        <f t="shared" si="8"/>
        <v>7411625</v>
      </c>
    </row>
    <row r="481" spans="1:7" x14ac:dyDescent="0.2">
      <c r="A481" s="12">
        <v>44498</v>
      </c>
      <c r="C481" s="22" t="s">
        <v>349</v>
      </c>
      <c r="D481" s="1" t="s">
        <v>9</v>
      </c>
      <c r="E481" s="3">
        <f>161784+60511+87500+99417+127030</f>
        <v>536242</v>
      </c>
      <c r="G481" s="9">
        <f t="shared" si="8"/>
        <v>7947867</v>
      </c>
    </row>
    <row r="482" spans="1:7" ht="15.75" x14ac:dyDescent="0.25">
      <c r="A482" s="10" t="s">
        <v>358</v>
      </c>
      <c r="G482" s="9"/>
    </row>
    <row r="483" spans="1:7" x14ac:dyDescent="0.2">
      <c r="A483" s="11" t="s">
        <v>2</v>
      </c>
      <c r="B483" s="5" t="s">
        <v>1</v>
      </c>
      <c r="C483" s="5" t="s">
        <v>3</v>
      </c>
      <c r="D483" s="5"/>
      <c r="E483" s="7" t="s">
        <v>4</v>
      </c>
      <c r="F483" s="7" t="s">
        <v>6</v>
      </c>
      <c r="G483" s="8" t="s">
        <v>5</v>
      </c>
    </row>
    <row r="484" spans="1:7" x14ac:dyDescent="0.2">
      <c r="A484" s="12">
        <v>44503</v>
      </c>
      <c r="C484" s="2" t="s">
        <v>354</v>
      </c>
      <c r="D484" s="1" t="s">
        <v>9</v>
      </c>
      <c r="F484" s="3">
        <v>2211485</v>
      </c>
      <c r="G484" s="9">
        <f>G481+E484-F484</f>
        <v>5736382</v>
      </c>
    </row>
    <row r="485" spans="1:7" x14ac:dyDescent="0.2">
      <c r="A485" s="12">
        <v>44503</v>
      </c>
      <c r="C485" s="2" t="s">
        <v>34</v>
      </c>
      <c r="D485" s="1" t="s">
        <v>9</v>
      </c>
      <c r="F485" s="3">
        <v>1238</v>
      </c>
      <c r="G485" s="9">
        <f t="shared" si="8"/>
        <v>5735144</v>
      </c>
    </row>
    <row r="486" spans="1:7" x14ac:dyDescent="0.2">
      <c r="A486" s="20">
        <v>44503</v>
      </c>
      <c r="B486" s="21" t="s">
        <v>355</v>
      </c>
      <c r="C486" s="22" t="s">
        <v>356</v>
      </c>
      <c r="D486" s="21" t="s">
        <v>9</v>
      </c>
      <c r="E486" s="23"/>
      <c r="F486" s="23">
        <v>270000</v>
      </c>
      <c r="G486" s="9">
        <f t="shared" si="8"/>
        <v>5465144</v>
      </c>
    </row>
    <row r="487" spans="1:7" x14ac:dyDescent="0.2">
      <c r="A487" s="12">
        <v>44504</v>
      </c>
      <c r="C487" s="2" t="s">
        <v>292</v>
      </c>
      <c r="D487" s="1" t="s">
        <v>9</v>
      </c>
      <c r="E487" s="3">
        <v>3656520</v>
      </c>
      <c r="G487" s="9">
        <f t="shared" si="8"/>
        <v>9121664</v>
      </c>
    </row>
    <row r="488" spans="1:7" x14ac:dyDescent="0.2">
      <c r="A488" s="12">
        <v>44504</v>
      </c>
      <c r="C488" s="22" t="s">
        <v>357</v>
      </c>
      <c r="D488" s="1" t="s">
        <v>9</v>
      </c>
      <c r="E488" s="3">
        <f>401684+9145+64456+304912+734668</f>
        <v>1514865</v>
      </c>
      <c r="G488" s="9">
        <f t="shared" si="8"/>
        <v>10636529</v>
      </c>
    </row>
    <row r="489" spans="1:7" x14ac:dyDescent="0.2">
      <c r="A489" s="12">
        <v>44505</v>
      </c>
      <c r="B489" s="1" t="s">
        <v>367</v>
      </c>
      <c r="C489" s="2" t="s">
        <v>154</v>
      </c>
      <c r="D489" s="1" t="s">
        <v>9</v>
      </c>
      <c r="F489" s="3">
        <v>269185</v>
      </c>
      <c r="G489" s="9">
        <f t="shared" si="8"/>
        <v>10367344</v>
      </c>
    </row>
    <row r="490" spans="1:7" x14ac:dyDescent="0.2">
      <c r="A490" s="12">
        <v>44508</v>
      </c>
      <c r="C490" s="22" t="s">
        <v>368</v>
      </c>
      <c r="D490" s="1" t="s">
        <v>9</v>
      </c>
      <c r="E490" s="3">
        <f>361080+33996+972590</f>
        <v>1367666</v>
      </c>
      <c r="G490" s="9">
        <f t="shared" si="8"/>
        <v>11735010</v>
      </c>
    </row>
    <row r="491" spans="1:7" x14ac:dyDescent="0.2">
      <c r="A491" s="12">
        <v>44509</v>
      </c>
      <c r="C491" s="22" t="s">
        <v>165</v>
      </c>
      <c r="D491" s="1" t="s">
        <v>9</v>
      </c>
      <c r="E491" s="3">
        <v>16800</v>
      </c>
      <c r="G491" s="9">
        <f t="shared" si="8"/>
        <v>11751810</v>
      </c>
    </row>
    <row r="492" spans="1:7" x14ac:dyDescent="0.2">
      <c r="A492" s="12">
        <v>44510</v>
      </c>
      <c r="C492" s="2" t="s">
        <v>359</v>
      </c>
      <c r="D492" s="1" t="s">
        <v>9</v>
      </c>
      <c r="F492" s="3">
        <f>678500+275</f>
        <v>678775</v>
      </c>
      <c r="G492" s="9">
        <f t="shared" si="8"/>
        <v>11073035</v>
      </c>
    </row>
    <row r="493" spans="1:7" x14ac:dyDescent="0.2">
      <c r="A493" s="12">
        <v>44510</v>
      </c>
      <c r="C493" s="2" t="s">
        <v>360</v>
      </c>
      <c r="D493" s="1" t="s">
        <v>9</v>
      </c>
      <c r="F493" s="3">
        <f>1532278+275</f>
        <v>1532553</v>
      </c>
      <c r="G493" s="9">
        <f t="shared" si="8"/>
        <v>9540482</v>
      </c>
    </row>
    <row r="494" spans="1:7" x14ac:dyDescent="0.2">
      <c r="A494" s="12">
        <v>44510</v>
      </c>
      <c r="C494" s="2" t="s">
        <v>361</v>
      </c>
      <c r="D494" s="1" t="s">
        <v>9</v>
      </c>
      <c r="F494" s="3">
        <f>146078+275</f>
        <v>146353</v>
      </c>
      <c r="G494" s="9">
        <f t="shared" si="8"/>
        <v>9394129</v>
      </c>
    </row>
    <row r="495" spans="1:7" x14ac:dyDescent="0.2">
      <c r="A495" s="12">
        <v>44510</v>
      </c>
      <c r="C495" s="2" t="s">
        <v>362</v>
      </c>
      <c r="D495" s="1" t="s">
        <v>9</v>
      </c>
      <c r="F495" s="3">
        <f>983232+275</f>
        <v>983507</v>
      </c>
      <c r="G495" s="9">
        <f t="shared" si="8"/>
        <v>8410622</v>
      </c>
    </row>
    <row r="496" spans="1:7" x14ac:dyDescent="0.2">
      <c r="A496" s="12">
        <v>44510</v>
      </c>
      <c r="C496" s="2" t="s">
        <v>363</v>
      </c>
      <c r="D496" s="1" t="s">
        <v>9</v>
      </c>
      <c r="F496" s="3">
        <f>182520</f>
        <v>182520</v>
      </c>
      <c r="G496" s="9">
        <f t="shared" si="8"/>
        <v>8228102</v>
      </c>
    </row>
    <row r="497" spans="1:7" x14ac:dyDescent="0.2">
      <c r="A497" s="12">
        <v>44510</v>
      </c>
      <c r="C497" s="2" t="s">
        <v>364</v>
      </c>
      <c r="D497" s="1" t="s">
        <v>9</v>
      </c>
      <c r="F497" s="3">
        <f>1173000+275</f>
        <v>1173275</v>
      </c>
      <c r="G497" s="9">
        <f t="shared" si="8"/>
        <v>7054827</v>
      </c>
    </row>
    <row r="498" spans="1:7" x14ac:dyDescent="0.2">
      <c r="A498" s="12">
        <v>44510</v>
      </c>
      <c r="C498" s="2" t="s">
        <v>365</v>
      </c>
      <c r="D498" s="1" t="s">
        <v>9</v>
      </c>
      <c r="F498" s="3">
        <f>432906</f>
        <v>432906</v>
      </c>
      <c r="G498" s="9">
        <f t="shared" si="8"/>
        <v>6621921</v>
      </c>
    </row>
    <row r="499" spans="1:7" x14ac:dyDescent="0.2">
      <c r="A499" s="12">
        <v>44510</v>
      </c>
      <c r="C499" s="2" t="s">
        <v>366</v>
      </c>
      <c r="D499" s="1" t="s">
        <v>9</v>
      </c>
      <c r="F499" s="3">
        <f>205970</f>
        <v>205970</v>
      </c>
      <c r="G499" s="9">
        <f t="shared" si="8"/>
        <v>6415951</v>
      </c>
    </row>
    <row r="500" spans="1:7" x14ac:dyDescent="0.2">
      <c r="A500" s="12">
        <v>44510</v>
      </c>
      <c r="B500" s="1" t="s">
        <v>374</v>
      </c>
      <c r="C500" s="2" t="s">
        <v>375</v>
      </c>
      <c r="D500" s="1" t="s">
        <v>9</v>
      </c>
      <c r="F500" s="3">
        <v>207000</v>
      </c>
      <c r="G500" s="9">
        <f t="shared" si="8"/>
        <v>6208951</v>
      </c>
    </row>
    <row r="501" spans="1:7" x14ac:dyDescent="0.2">
      <c r="A501" s="12">
        <v>44510</v>
      </c>
      <c r="C501" s="22" t="s">
        <v>369</v>
      </c>
      <c r="D501" s="1" t="s">
        <v>9</v>
      </c>
      <c r="E501" s="3">
        <f>187443+421967+44250+280408</f>
        <v>934068</v>
      </c>
      <c r="G501" s="9">
        <f t="shared" si="8"/>
        <v>7143019</v>
      </c>
    </row>
    <row r="502" spans="1:7" x14ac:dyDescent="0.2">
      <c r="A502" s="12">
        <v>44510</v>
      </c>
      <c r="C502" s="22" t="s">
        <v>370</v>
      </c>
      <c r="D502" s="1" t="s">
        <v>9</v>
      </c>
      <c r="E502" s="3">
        <f>1168108+52215+644820</f>
        <v>1865143</v>
      </c>
      <c r="G502" s="9">
        <f t="shared" ref="G502:G565" si="9">G501+E502-F502</f>
        <v>9008162</v>
      </c>
    </row>
    <row r="503" spans="1:7" x14ac:dyDescent="0.2">
      <c r="A503" s="12">
        <v>44511</v>
      </c>
      <c r="C503" s="2" t="s">
        <v>84</v>
      </c>
      <c r="D503" s="1" t="s">
        <v>9</v>
      </c>
      <c r="F503" s="3">
        <v>185185</v>
      </c>
      <c r="G503" s="9">
        <f t="shared" si="9"/>
        <v>8822977</v>
      </c>
    </row>
    <row r="504" spans="1:7" x14ac:dyDescent="0.2">
      <c r="A504" s="12">
        <v>44512</v>
      </c>
      <c r="C504" s="2" t="s">
        <v>35</v>
      </c>
      <c r="D504" s="1" t="s">
        <v>9</v>
      </c>
      <c r="F504" s="3">
        <v>6600</v>
      </c>
      <c r="G504" s="9">
        <f t="shared" si="9"/>
        <v>8816377</v>
      </c>
    </row>
    <row r="505" spans="1:7" x14ac:dyDescent="0.2">
      <c r="A505" s="12">
        <v>44512</v>
      </c>
      <c r="C505" s="2" t="s">
        <v>35</v>
      </c>
      <c r="D505" s="1" t="s">
        <v>9</v>
      </c>
      <c r="F505" s="3">
        <v>6600</v>
      </c>
      <c r="G505" s="9">
        <f t="shared" si="9"/>
        <v>8809777</v>
      </c>
    </row>
    <row r="506" spans="1:7" x14ac:dyDescent="0.2">
      <c r="A506" s="12">
        <v>44515</v>
      </c>
      <c r="C506" s="2" t="s">
        <v>371</v>
      </c>
      <c r="D506" s="1" t="s">
        <v>9</v>
      </c>
      <c r="F506" s="3">
        <f>400506</f>
        <v>400506</v>
      </c>
      <c r="G506" s="9">
        <f t="shared" si="9"/>
        <v>8409271</v>
      </c>
    </row>
    <row r="507" spans="1:7" x14ac:dyDescent="0.2">
      <c r="A507" s="12">
        <v>44516</v>
      </c>
      <c r="C507" s="22" t="s">
        <v>373</v>
      </c>
      <c r="D507" s="1" t="s">
        <v>9</v>
      </c>
      <c r="E507" s="3">
        <f>954738+531528+136880+129144+187812+72334+132915</f>
        <v>2145351</v>
      </c>
      <c r="G507" s="9">
        <f t="shared" si="9"/>
        <v>10554622</v>
      </c>
    </row>
    <row r="508" spans="1:7" x14ac:dyDescent="0.2">
      <c r="A508" s="12">
        <v>44516</v>
      </c>
      <c r="C508" s="22" t="s">
        <v>372</v>
      </c>
      <c r="D508" s="1" t="s">
        <v>9</v>
      </c>
      <c r="E508" s="3">
        <f>5605+236738+42177+220365+57850+144322</f>
        <v>707057</v>
      </c>
      <c r="G508" s="9">
        <f t="shared" si="9"/>
        <v>11261679</v>
      </c>
    </row>
    <row r="509" spans="1:7" x14ac:dyDescent="0.2">
      <c r="A509" s="12">
        <v>44516</v>
      </c>
      <c r="C509" s="2" t="s">
        <v>35</v>
      </c>
      <c r="D509" s="1" t="s">
        <v>9</v>
      </c>
      <c r="F509" s="3">
        <v>6600</v>
      </c>
      <c r="G509" s="9">
        <f t="shared" si="9"/>
        <v>11255079</v>
      </c>
    </row>
    <row r="510" spans="1:7" x14ac:dyDescent="0.2">
      <c r="A510" s="12">
        <v>44518</v>
      </c>
      <c r="C510" s="2" t="s">
        <v>35</v>
      </c>
      <c r="D510" s="1" t="s">
        <v>9</v>
      </c>
      <c r="F510" s="3">
        <v>6600</v>
      </c>
      <c r="G510" s="9">
        <f t="shared" si="9"/>
        <v>11248479</v>
      </c>
    </row>
    <row r="511" spans="1:7" x14ac:dyDescent="0.2">
      <c r="A511" s="12">
        <v>44519</v>
      </c>
      <c r="C511" s="2" t="s">
        <v>377</v>
      </c>
      <c r="D511" s="1" t="s">
        <v>9</v>
      </c>
      <c r="E511" s="3">
        <v>600000</v>
      </c>
      <c r="G511" s="9">
        <f t="shared" si="9"/>
        <v>11848479</v>
      </c>
    </row>
    <row r="512" spans="1:7" x14ac:dyDescent="0.2">
      <c r="A512" s="12">
        <v>44519</v>
      </c>
      <c r="C512" s="22" t="s">
        <v>908</v>
      </c>
      <c r="D512" s="1" t="s">
        <v>9</v>
      </c>
      <c r="E512" s="3">
        <v>600000</v>
      </c>
      <c r="G512" s="9">
        <f t="shared" si="9"/>
        <v>12448479</v>
      </c>
    </row>
    <row r="513" spans="1:7" x14ac:dyDescent="0.2">
      <c r="A513" s="12">
        <v>44519</v>
      </c>
      <c r="C513" s="2" t="s">
        <v>53</v>
      </c>
      <c r="D513" s="1" t="s">
        <v>9</v>
      </c>
      <c r="F513" s="3">
        <v>100</v>
      </c>
      <c r="G513" s="9">
        <f t="shared" si="9"/>
        <v>12448379</v>
      </c>
    </row>
    <row r="514" spans="1:7" x14ac:dyDescent="0.2">
      <c r="A514" s="12">
        <v>44519</v>
      </c>
      <c r="C514" s="2" t="s">
        <v>76</v>
      </c>
      <c r="D514" s="1" t="s">
        <v>9</v>
      </c>
      <c r="E514" s="3">
        <v>211343</v>
      </c>
      <c r="G514" s="9">
        <f t="shared" si="9"/>
        <v>12659722</v>
      </c>
    </row>
    <row r="515" spans="1:7" x14ac:dyDescent="0.2">
      <c r="A515" s="12">
        <v>44519</v>
      </c>
      <c r="C515" s="2" t="s">
        <v>116</v>
      </c>
      <c r="D515" s="1" t="s">
        <v>9</v>
      </c>
      <c r="E515" s="3">
        <v>147094</v>
      </c>
      <c r="G515" s="9">
        <f t="shared" si="9"/>
        <v>12806816</v>
      </c>
    </row>
    <row r="516" spans="1:7" x14ac:dyDescent="0.2">
      <c r="A516" s="12">
        <v>44523</v>
      </c>
      <c r="C516" s="2" t="s">
        <v>378</v>
      </c>
      <c r="D516" s="1" t="s">
        <v>9</v>
      </c>
      <c r="E516" s="3">
        <v>406717</v>
      </c>
      <c r="G516" s="9">
        <f t="shared" si="9"/>
        <v>13213533</v>
      </c>
    </row>
    <row r="517" spans="1:7" x14ac:dyDescent="0.2">
      <c r="A517" s="12">
        <v>44525</v>
      </c>
      <c r="C517" s="2" t="s">
        <v>376</v>
      </c>
      <c r="D517" s="1" t="s">
        <v>9</v>
      </c>
      <c r="F517" s="3">
        <f>1474830</f>
        <v>1474830</v>
      </c>
      <c r="G517" s="9">
        <f t="shared" si="9"/>
        <v>11738703</v>
      </c>
    </row>
    <row r="518" spans="1:7" x14ac:dyDescent="0.2">
      <c r="A518" s="12">
        <v>44525</v>
      </c>
      <c r="C518" s="2" t="s">
        <v>27</v>
      </c>
      <c r="D518" s="1" t="s">
        <v>9</v>
      </c>
      <c r="F518" s="3">
        <v>150000</v>
      </c>
      <c r="G518" s="9">
        <f t="shared" si="9"/>
        <v>11588703</v>
      </c>
    </row>
    <row r="519" spans="1:7" x14ac:dyDescent="0.2">
      <c r="A519" s="12">
        <v>44525</v>
      </c>
      <c r="C519" s="2" t="s">
        <v>379</v>
      </c>
      <c r="D519" s="1" t="s">
        <v>9</v>
      </c>
      <c r="E519" s="3">
        <f>259619+64918+3160+5758+45312+8700</f>
        <v>387467</v>
      </c>
      <c r="G519" s="9">
        <f t="shared" si="9"/>
        <v>11976170</v>
      </c>
    </row>
    <row r="520" spans="1:7" x14ac:dyDescent="0.2">
      <c r="A520" s="12">
        <v>44526</v>
      </c>
      <c r="C520" s="2" t="s">
        <v>35</v>
      </c>
      <c r="D520" s="1" t="s">
        <v>9</v>
      </c>
      <c r="F520" s="3">
        <v>6600</v>
      </c>
      <c r="G520" s="9">
        <f t="shared" si="9"/>
        <v>11969570</v>
      </c>
    </row>
    <row r="521" spans="1:7" x14ac:dyDescent="0.2">
      <c r="A521" s="12">
        <v>44529</v>
      </c>
      <c r="C521" s="2" t="s">
        <v>35</v>
      </c>
      <c r="D521" s="1" t="s">
        <v>9</v>
      </c>
      <c r="F521" s="3">
        <v>6600</v>
      </c>
      <c r="G521" s="9">
        <f t="shared" si="9"/>
        <v>11962970</v>
      </c>
    </row>
    <row r="522" spans="1:7" x14ac:dyDescent="0.2">
      <c r="A522" s="12">
        <v>44530</v>
      </c>
      <c r="C522" s="2" t="s">
        <v>381</v>
      </c>
      <c r="D522" s="1" t="s">
        <v>9</v>
      </c>
      <c r="F522" s="3">
        <v>27788</v>
      </c>
      <c r="G522" s="9">
        <f t="shared" si="9"/>
        <v>11935182</v>
      </c>
    </row>
    <row r="523" spans="1:7" x14ac:dyDescent="0.2">
      <c r="A523" s="12">
        <v>44530</v>
      </c>
      <c r="C523" s="2" t="s">
        <v>21</v>
      </c>
      <c r="D523" s="1" t="s">
        <v>9</v>
      </c>
      <c r="E523" s="3">
        <v>661808</v>
      </c>
      <c r="G523" s="9">
        <f t="shared" si="9"/>
        <v>12596990</v>
      </c>
    </row>
    <row r="524" spans="1:7" x14ac:dyDescent="0.2">
      <c r="A524" s="12">
        <v>44530</v>
      </c>
      <c r="C524" s="2" t="s">
        <v>380</v>
      </c>
      <c r="D524" s="1" t="s">
        <v>9</v>
      </c>
      <c r="E524" s="3">
        <f>118236+59517+125476+363789+52056+67968+95438+50180</f>
        <v>932660</v>
      </c>
      <c r="G524" s="9">
        <f t="shared" si="9"/>
        <v>13529650</v>
      </c>
    </row>
    <row r="525" spans="1:7" ht="15.75" x14ac:dyDescent="0.25">
      <c r="A525" s="10" t="s">
        <v>383</v>
      </c>
      <c r="G525" s="9"/>
    </row>
    <row r="526" spans="1:7" x14ac:dyDescent="0.2">
      <c r="A526" s="11" t="s">
        <v>2</v>
      </c>
      <c r="B526" s="5" t="s">
        <v>1</v>
      </c>
      <c r="C526" s="5" t="s">
        <v>3</v>
      </c>
      <c r="D526" s="5"/>
      <c r="E526" s="7" t="s">
        <v>4</v>
      </c>
      <c r="F526" s="7" t="s">
        <v>6</v>
      </c>
      <c r="G526" s="8" t="s">
        <v>5</v>
      </c>
    </row>
    <row r="527" spans="1:7" x14ac:dyDescent="0.2">
      <c r="A527" s="12">
        <v>44531</v>
      </c>
      <c r="C527" s="2" t="s">
        <v>35</v>
      </c>
      <c r="D527" s="1" t="s">
        <v>9</v>
      </c>
      <c r="F527" s="3">
        <v>6600</v>
      </c>
      <c r="G527" s="9">
        <f>G524+E527-F527</f>
        <v>13523050</v>
      </c>
    </row>
    <row r="528" spans="1:7" x14ac:dyDescent="0.2">
      <c r="A528" s="12">
        <v>44531</v>
      </c>
      <c r="C528" s="2" t="s">
        <v>35</v>
      </c>
      <c r="D528" s="1" t="s">
        <v>9</v>
      </c>
      <c r="F528" s="3">
        <v>6600</v>
      </c>
      <c r="G528" s="9">
        <f t="shared" si="9"/>
        <v>13516450</v>
      </c>
    </row>
    <row r="529" spans="1:7" x14ac:dyDescent="0.2">
      <c r="A529" s="12">
        <v>44532</v>
      </c>
      <c r="C529" s="2" t="s">
        <v>382</v>
      </c>
      <c r="D529" s="1" t="s">
        <v>9</v>
      </c>
      <c r="F529" s="3">
        <v>2673998</v>
      </c>
      <c r="G529" s="9">
        <f t="shared" si="9"/>
        <v>10842452</v>
      </c>
    </row>
    <row r="530" spans="1:7" x14ac:dyDescent="0.2">
      <c r="A530" s="12">
        <v>44532</v>
      </c>
      <c r="C530" s="2" t="s">
        <v>34</v>
      </c>
      <c r="D530" s="1" t="s">
        <v>9</v>
      </c>
      <c r="F530" s="3">
        <v>1238</v>
      </c>
      <c r="G530" s="9">
        <f t="shared" si="9"/>
        <v>10841214</v>
      </c>
    </row>
    <row r="531" spans="1:7" x14ac:dyDescent="0.2">
      <c r="A531" s="12">
        <v>44532</v>
      </c>
      <c r="C531" s="2" t="s">
        <v>35</v>
      </c>
      <c r="D531" s="1" t="s">
        <v>9</v>
      </c>
      <c r="F531" s="3">
        <v>6600</v>
      </c>
      <c r="G531" s="9">
        <f t="shared" si="9"/>
        <v>10834614</v>
      </c>
    </row>
    <row r="532" spans="1:7" x14ac:dyDescent="0.2">
      <c r="A532" s="12">
        <v>44533</v>
      </c>
      <c r="C532" s="2" t="s">
        <v>385</v>
      </c>
      <c r="D532" s="1" t="s">
        <v>9</v>
      </c>
      <c r="F532" s="3">
        <f>2377116+85367</f>
        <v>2462483</v>
      </c>
      <c r="G532" s="9">
        <f t="shared" si="9"/>
        <v>8372131</v>
      </c>
    </row>
    <row r="533" spans="1:7" x14ac:dyDescent="0.2">
      <c r="A533" s="12">
        <v>44533</v>
      </c>
      <c r="C533" s="2" t="s">
        <v>384</v>
      </c>
      <c r="D533" s="1" t="s">
        <v>9</v>
      </c>
      <c r="F533" s="3">
        <f>5079888+138748</f>
        <v>5218636</v>
      </c>
      <c r="G533" s="9">
        <f t="shared" si="9"/>
        <v>3153495</v>
      </c>
    </row>
    <row r="534" spans="1:7" x14ac:dyDescent="0.2">
      <c r="A534" s="12">
        <v>44533</v>
      </c>
      <c r="C534" s="22" t="s">
        <v>386</v>
      </c>
      <c r="D534" s="1" t="s">
        <v>9</v>
      </c>
      <c r="E534" s="3">
        <v>4035525</v>
      </c>
      <c r="G534" s="9">
        <f t="shared" si="9"/>
        <v>7189020</v>
      </c>
    </row>
    <row r="535" spans="1:7" x14ac:dyDescent="0.2">
      <c r="A535" s="12">
        <v>44533</v>
      </c>
      <c r="C535" s="22" t="s">
        <v>387</v>
      </c>
      <c r="D535" s="1" t="s">
        <v>9</v>
      </c>
      <c r="E535" s="3">
        <f>40120+38940+278002+446537</f>
        <v>803599</v>
      </c>
      <c r="G535" s="9">
        <f t="shared" si="9"/>
        <v>7992619</v>
      </c>
    </row>
    <row r="536" spans="1:7" x14ac:dyDescent="0.2">
      <c r="A536" s="12">
        <v>44533</v>
      </c>
      <c r="C536" s="2" t="s">
        <v>35</v>
      </c>
      <c r="D536" s="1" t="s">
        <v>9</v>
      </c>
      <c r="F536" s="3">
        <v>6600</v>
      </c>
      <c r="G536" s="9">
        <f t="shared" si="9"/>
        <v>7986019</v>
      </c>
    </row>
    <row r="537" spans="1:7" x14ac:dyDescent="0.2">
      <c r="A537" s="12">
        <v>44536</v>
      </c>
      <c r="C537" s="2" t="s">
        <v>18</v>
      </c>
      <c r="D537" s="1" t="s">
        <v>9</v>
      </c>
      <c r="E537" s="3">
        <v>276899</v>
      </c>
      <c r="G537" s="9">
        <f t="shared" si="9"/>
        <v>8262918</v>
      </c>
    </row>
    <row r="538" spans="1:7" x14ac:dyDescent="0.2">
      <c r="A538" s="12">
        <v>44536</v>
      </c>
      <c r="C538" s="2" t="s">
        <v>189</v>
      </c>
      <c r="D538" s="1" t="s">
        <v>9</v>
      </c>
      <c r="E538" s="3">
        <v>270692</v>
      </c>
      <c r="G538" s="9">
        <f t="shared" si="9"/>
        <v>8533610</v>
      </c>
    </row>
    <row r="539" spans="1:7" x14ac:dyDescent="0.2">
      <c r="A539" s="12">
        <v>44537</v>
      </c>
      <c r="C539" s="2" t="s">
        <v>394</v>
      </c>
      <c r="D539" s="1" t="s">
        <v>9</v>
      </c>
      <c r="F539" s="3">
        <f>1006094</f>
        <v>1006094</v>
      </c>
      <c r="G539" s="9">
        <f t="shared" si="9"/>
        <v>7527516</v>
      </c>
    </row>
    <row r="540" spans="1:7" x14ac:dyDescent="0.2">
      <c r="A540" s="12">
        <v>44537</v>
      </c>
      <c r="C540" s="2" t="s">
        <v>18</v>
      </c>
      <c r="D540" s="1" t="s">
        <v>9</v>
      </c>
      <c r="E540" s="3">
        <v>143429</v>
      </c>
      <c r="G540" s="9">
        <f t="shared" si="9"/>
        <v>7670945</v>
      </c>
    </row>
    <row r="541" spans="1:7" x14ac:dyDescent="0.2">
      <c r="A541" s="12">
        <v>44537</v>
      </c>
      <c r="C541" s="2" t="s">
        <v>18</v>
      </c>
      <c r="D541" s="1" t="s">
        <v>9</v>
      </c>
      <c r="E541" s="3">
        <v>16550</v>
      </c>
      <c r="G541" s="9">
        <f t="shared" si="9"/>
        <v>7687495</v>
      </c>
    </row>
    <row r="542" spans="1:7" x14ac:dyDescent="0.2">
      <c r="A542" s="12">
        <v>44538</v>
      </c>
      <c r="C542" s="2" t="s">
        <v>201</v>
      </c>
      <c r="D542" s="1" t="s">
        <v>9</v>
      </c>
      <c r="E542" s="3">
        <v>91850</v>
      </c>
      <c r="G542" s="9">
        <f t="shared" si="9"/>
        <v>7779345</v>
      </c>
    </row>
    <row r="543" spans="1:7" x14ac:dyDescent="0.2">
      <c r="A543" s="12">
        <v>44538</v>
      </c>
      <c r="C543" s="22" t="s">
        <v>395</v>
      </c>
      <c r="D543" s="1" t="s">
        <v>9</v>
      </c>
      <c r="E543" s="3">
        <f>1061823+80164</f>
        <v>1141987</v>
      </c>
      <c r="G543" s="9">
        <f t="shared" si="9"/>
        <v>8921332</v>
      </c>
    </row>
    <row r="544" spans="1:7" x14ac:dyDescent="0.2">
      <c r="A544" s="12">
        <v>44539</v>
      </c>
      <c r="C544" s="22" t="s">
        <v>323</v>
      </c>
      <c r="D544" s="1" t="s">
        <v>9</v>
      </c>
      <c r="E544" s="3">
        <v>150450</v>
      </c>
      <c r="G544" s="9">
        <f t="shared" si="9"/>
        <v>9071782</v>
      </c>
    </row>
    <row r="545" spans="1:7" x14ac:dyDescent="0.2">
      <c r="A545" s="12">
        <v>44539</v>
      </c>
      <c r="C545" s="22" t="s">
        <v>397</v>
      </c>
      <c r="D545" s="1" t="s">
        <v>9</v>
      </c>
      <c r="E545" s="3">
        <f>211979+174942+96520+547032+40371+287781+154212+43967</f>
        <v>1556804</v>
      </c>
      <c r="G545" s="9">
        <f t="shared" si="9"/>
        <v>10628586</v>
      </c>
    </row>
    <row r="546" spans="1:7" x14ac:dyDescent="0.2">
      <c r="A546" s="20">
        <v>44539</v>
      </c>
      <c r="B546" s="21" t="s">
        <v>398</v>
      </c>
      <c r="C546" s="22" t="s">
        <v>415</v>
      </c>
      <c r="D546" s="21" t="s">
        <v>9</v>
      </c>
      <c r="E546" s="23"/>
      <c r="F546" s="23">
        <v>275500</v>
      </c>
      <c r="G546" s="9">
        <f t="shared" si="9"/>
        <v>10353086</v>
      </c>
    </row>
    <row r="547" spans="1:7" x14ac:dyDescent="0.2">
      <c r="A547" s="12">
        <v>44540</v>
      </c>
      <c r="C547" s="2" t="s">
        <v>388</v>
      </c>
      <c r="D547" s="1" t="s">
        <v>9</v>
      </c>
      <c r="F547" s="3">
        <f>678500+275</f>
        <v>678775</v>
      </c>
      <c r="G547" s="9">
        <f t="shared" si="9"/>
        <v>9674311</v>
      </c>
    </row>
    <row r="548" spans="1:7" x14ac:dyDescent="0.2">
      <c r="A548" s="12">
        <v>44540</v>
      </c>
      <c r="C548" s="2" t="s">
        <v>389</v>
      </c>
      <c r="D548" s="1" t="s">
        <v>9</v>
      </c>
      <c r="F548" s="3">
        <f>500000+275</f>
        <v>500275</v>
      </c>
      <c r="G548" s="9">
        <f t="shared" si="9"/>
        <v>9174036</v>
      </c>
    </row>
    <row r="549" spans="1:7" x14ac:dyDescent="0.2">
      <c r="A549" s="12">
        <v>44540</v>
      </c>
      <c r="C549" s="2" t="s">
        <v>365</v>
      </c>
      <c r="D549" s="1" t="s">
        <v>9</v>
      </c>
      <c r="F549" s="3">
        <f>432906</f>
        <v>432906</v>
      </c>
      <c r="G549" s="9">
        <f t="shared" si="9"/>
        <v>8741130</v>
      </c>
    </row>
    <row r="550" spans="1:7" x14ac:dyDescent="0.2">
      <c r="A550" s="12">
        <v>44540</v>
      </c>
      <c r="C550" s="2" t="s">
        <v>390</v>
      </c>
      <c r="D550" s="1" t="s">
        <v>9</v>
      </c>
      <c r="F550" s="3">
        <f>346478+275</f>
        <v>346753</v>
      </c>
      <c r="G550" s="9">
        <f t="shared" si="9"/>
        <v>8394377</v>
      </c>
    </row>
    <row r="551" spans="1:7" x14ac:dyDescent="0.2">
      <c r="A551" s="12">
        <v>44540</v>
      </c>
      <c r="C551" s="2" t="s">
        <v>391</v>
      </c>
      <c r="D551" s="1" t="s">
        <v>9</v>
      </c>
      <c r="F551" s="3">
        <f>385699</f>
        <v>385699</v>
      </c>
      <c r="G551" s="9">
        <f t="shared" si="9"/>
        <v>8008678</v>
      </c>
    </row>
    <row r="552" spans="1:7" x14ac:dyDescent="0.2">
      <c r="A552" s="12">
        <v>44540</v>
      </c>
      <c r="C552" s="2" t="s">
        <v>392</v>
      </c>
      <c r="D552" s="1" t="s">
        <v>9</v>
      </c>
      <c r="F552" s="3">
        <f>850000+275</f>
        <v>850275</v>
      </c>
      <c r="G552" s="9">
        <f t="shared" si="9"/>
        <v>7158403</v>
      </c>
    </row>
    <row r="553" spans="1:7" x14ac:dyDescent="0.2">
      <c r="A553" s="12">
        <v>44540</v>
      </c>
      <c r="C553" s="22" t="s">
        <v>396</v>
      </c>
      <c r="D553" s="1" t="s">
        <v>9</v>
      </c>
      <c r="E553" s="3">
        <f>114950+5310+106613+551237+1806868</f>
        <v>2584978</v>
      </c>
      <c r="G553" s="9">
        <f t="shared" si="9"/>
        <v>9743381</v>
      </c>
    </row>
    <row r="554" spans="1:7" x14ac:dyDescent="0.2">
      <c r="A554" s="12">
        <v>44540</v>
      </c>
      <c r="C554" s="2" t="s">
        <v>84</v>
      </c>
      <c r="D554" s="1" t="s">
        <v>9</v>
      </c>
      <c r="F554" s="3">
        <v>185185</v>
      </c>
      <c r="G554" s="9">
        <f t="shared" si="9"/>
        <v>9558196</v>
      </c>
    </row>
    <row r="555" spans="1:7" x14ac:dyDescent="0.2">
      <c r="A555" s="20">
        <v>44544</v>
      </c>
      <c r="B555" s="21" t="s">
        <v>399</v>
      </c>
      <c r="C555" s="22" t="s">
        <v>154</v>
      </c>
      <c r="D555" s="21" t="s">
        <v>9</v>
      </c>
      <c r="E555" s="23"/>
      <c r="F555" s="23">
        <v>226580</v>
      </c>
      <c r="G555" s="9">
        <f t="shared" si="9"/>
        <v>9331616</v>
      </c>
    </row>
    <row r="556" spans="1:7" x14ac:dyDescent="0.2">
      <c r="A556" s="12">
        <v>44545</v>
      </c>
      <c r="C556" s="2" t="s">
        <v>393</v>
      </c>
      <c r="D556" s="1" t="s">
        <v>9</v>
      </c>
      <c r="F556" s="3">
        <f>1560000</f>
        <v>1560000</v>
      </c>
      <c r="G556" s="9">
        <f t="shared" si="9"/>
        <v>7771616</v>
      </c>
    </row>
    <row r="557" spans="1:7" x14ac:dyDescent="0.2">
      <c r="A557" s="12">
        <v>44545</v>
      </c>
      <c r="C557" s="2" t="s">
        <v>34</v>
      </c>
      <c r="D557" s="1" t="s">
        <v>9</v>
      </c>
      <c r="F557" s="3">
        <v>1238</v>
      </c>
      <c r="G557" s="9">
        <f t="shared" si="9"/>
        <v>7770378</v>
      </c>
    </row>
    <row r="558" spans="1:7" x14ac:dyDescent="0.2">
      <c r="A558" s="12">
        <v>44545</v>
      </c>
      <c r="C558" s="22" t="s">
        <v>400</v>
      </c>
      <c r="D558" s="1" t="s">
        <v>9</v>
      </c>
      <c r="E558" s="3">
        <f>81531+364688+89680+188000</f>
        <v>723899</v>
      </c>
      <c r="G558" s="9">
        <f t="shared" si="9"/>
        <v>8494277</v>
      </c>
    </row>
    <row r="559" spans="1:7" x14ac:dyDescent="0.2">
      <c r="A559" s="12">
        <v>44546</v>
      </c>
      <c r="C559" s="2" t="s">
        <v>15</v>
      </c>
      <c r="D559" s="1" t="s">
        <v>9</v>
      </c>
      <c r="E559" s="3">
        <v>125375</v>
      </c>
      <c r="G559" s="9">
        <f t="shared" si="9"/>
        <v>8619652</v>
      </c>
    </row>
    <row r="560" spans="1:7" x14ac:dyDescent="0.2">
      <c r="A560" s="12">
        <v>44546</v>
      </c>
      <c r="C560" s="2" t="s">
        <v>144</v>
      </c>
      <c r="D560" s="1" t="s">
        <v>9</v>
      </c>
      <c r="E560" s="3">
        <v>326928</v>
      </c>
      <c r="G560" s="9">
        <f t="shared" si="9"/>
        <v>8946580</v>
      </c>
    </row>
    <row r="561" spans="1:7" x14ac:dyDescent="0.2">
      <c r="A561" s="12">
        <v>44547</v>
      </c>
      <c r="C561" s="2" t="s">
        <v>45</v>
      </c>
      <c r="D561" s="1" t="s">
        <v>9</v>
      </c>
      <c r="E561" s="3">
        <v>410109</v>
      </c>
      <c r="G561" s="9">
        <f t="shared" si="9"/>
        <v>9356689</v>
      </c>
    </row>
    <row r="562" spans="1:7" x14ac:dyDescent="0.2">
      <c r="A562" s="12">
        <v>44547</v>
      </c>
      <c r="C562" s="2" t="s">
        <v>76</v>
      </c>
      <c r="D562" s="1" t="s">
        <v>9</v>
      </c>
      <c r="E562" s="3">
        <v>16756</v>
      </c>
      <c r="G562" s="9">
        <f t="shared" si="9"/>
        <v>9373445</v>
      </c>
    </row>
    <row r="563" spans="1:7" x14ac:dyDescent="0.2">
      <c r="A563" s="12">
        <v>44550</v>
      </c>
      <c r="C563" s="2" t="s">
        <v>401</v>
      </c>
      <c r="D563" s="1" t="s">
        <v>9</v>
      </c>
      <c r="F563" s="3">
        <f>576067</f>
        <v>576067</v>
      </c>
      <c r="G563" s="9">
        <f t="shared" si="9"/>
        <v>8797378</v>
      </c>
    </row>
    <row r="564" spans="1:7" x14ac:dyDescent="0.2">
      <c r="A564" s="20">
        <v>44553</v>
      </c>
      <c r="B564" s="21"/>
      <c r="C564" s="22" t="s">
        <v>404</v>
      </c>
      <c r="D564" s="21" t="s">
        <v>9</v>
      </c>
      <c r="E564" s="23">
        <v>2513079</v>
      </c>
      <c r="G564" s="9">
        <f t="shared" si="9"/>
        <v>11310457</v>
      </c>
    </row>
    <row r="565" spans="1:7" x14ac:dyDescent="0.2">
      <c r="A565" s="20">
        <v>44553</v>
      </c>
      <c r="B565" s="21"/>
      <c r="C565" s="22" t="s">
        <v>405</v>
      </c>
      <c r="D565" s="21" t="s">
        <v>9</v>
      </c>
      <c r="E565" s="23">
        <f>36509+22568+55914+25179</f>
        <v>140170</v>
      </c>
      <c r="G565" s="9">
        <f t="shared" si="9"/>
        <v>11450627</v>
      </c>
    </row>
    <row r="566" spans="1:7" x14ac:dyDescent="0.2">
      <c r="A566" s="12">
        <v>44557</v>
      </c>
      <c r="C566" s="2" t="s">
        <v>27</v>
      </c>
      <c r="D566" s="1" t="s">
        <v>9</v>
      </c>
      <c r="F566" s="3">
        <v>150000</v>
      </c>
      <c r="G566" s="9">
        <f t="shared" ref="G566:G632" si="10">G565+E566-F566</f>
        <v>11300627</v>
      </c>
    </row>
    <row r="567" spans="1:7" x14ac:dyDescent="0.2">
      <c r="A567" s="20">
        <v>44557</v>
      </c>
      <c r="B567" s="21"/>
      <c r="C567" s="22" t="s">
        <v>403</v>
      </c>
      <c r="D567" s="21" t="s">
        <v>9</v>
      </c>
      <c r="E567" s="23">
        <f>1339715+26550</f>
        <v>1366265</v>
      </c>
      <c r="G567" s="9">
        <f t="shared" si="10"/>
        <v>12666892</v>
      </c>
    </row>
    <row r="568" spans="1:7" x14ac:dyDescent="0.2">
      <c r="A568" s="12">
        <v>44558</v>
      </c>
      <c r="C568" s="2" t="s">
        <v>35</v>
      </c>
      <c r="D568" s="1" t="s">
        <v>9</v>
      </c>
      <c r="F568" s="3">
        <v>6600</v>
      </c>
      <c r="G568" s="9">
        <f t="shared" si="10"/>
        <v>12660292</v>
      </c>
    </row>
    <row r="569" spans="1:7" x14ac:dyDescent="0.2">
      <c r="A569" s="12">
        <v>44558</v>
      </c>
      <c r="C569" s="2" t="s">
        <v>411</v>
      </c>
      <c r="D569" s="1" t="s">
        <v>9</v>
      </c>
      <c r="E569" s="3">
        <f>13039+576725+72128</f>
        <v>661892</v>
      </c>
      <c r="G569" s="9">
        <f t="shared" si="10"/>
        <v>13322184</v>
      </c>
    </row>
    <row r="570" spans="1:7" x14ac:dyDescent="0.2">
      <c r="A570" s="12">
        <v>44558</v>
      </c>
      <c r="C570" s="2" t="s">
        <v>409</v>
      </c>
      <c r="D570" s="1" t="s">
        <v>9</v>
      </c>
      <c r="E570" s="3">
        <v>500000</v>
      </c>
      <c r="G570" s="9">
        <f t="shared" si="10"/>
        <v>13822184</v>
      </c>
    </row>
    <row r="571" spans="1:7" x14ac:dyDescent="0.2">
      <c r="A571" s="12">
        <v>44558</v>
      </c>
      <c r="C571" s="2" t="s">
        <v>410</v>
      </c>
      <c r="D571" s="1" t="s">
        <v>9</v>
      </c>
      <c r="E571" s="3">
        <v>356578</v>
      </c>
      <c r="G571" s="9">
        <f t="shared" si="10"/>
        <v>14178762</v>
      </c>
    </row>
    <row r="572" spans="1:7" x14ac:dyDescent="0.2">
      <c r="A572" s="12">
        <v>44559</v>
      </c>
      <c r="C572" s="2" t="s">
        <v>402</v>
      </c>
      <c r="D572" s="1" t="s">
        <v>9</v>
      </c>
      <c r="F572" s="3">
        <f>2046633</f>
        <v>2046633</v>
      </c>
      <c r="G572" s="9">
        <f t="shared" si="10"/>
        <v>12132129</v>
      </c>
    </row>
    <row r="573" spans="1:7" x14ac:dyDescent="0.2">
      <c r="A573" s="12">
        <v>44560</v>
      </c>
      <c r="C573" s="2" t="s">
        <v>406</v>
      </c>
      <c r="D573" s="1" t="s">
        <v>9</v>
      </c>
      <c r="F573" s="3">
        <v>2289111</v>
      </c>
      <c r="G573" s="9">
        <f t="shared" si="10"/>
        <v>9843018</v>
      </c>
    </row>
    <row r="574" spans="1:7" x14ac:dyDescent="0.2">
      <c r="A574" s="12">
        <v>44560</v>
      </c>
      <c r="C574" s="2" t="s">
        <v>34</v>
      </c>
      <c r="D574" s="1" t="s">
        <v>9</v>
      </c>
      <c r="F574" s="3">
        <v>1100</v>
      </c>
      <c r="G574" s="9">
        <f t="shared" si="10"/>
        <v>9841918</v>
      </c>
    </row>
    <row r="575" spans="1:7" x14ac:dyDescent="0.2">
      <c r="A575" s="12">
        <v>44560</v>
      </c>
      <c r="C575" s="2" t="s">
        <v>84</v>
      </c>
      <c r="D575" s="1" t="s">
        <v>9</v>
      </c>
      <c r="F575" s="3">
        <v>185185</v>
      </c>
      <c r="G575" s="9">
        <f t="shared" si="10"/>
        <v>9656733</v>
      </c>
    </row>
    <row r="576" spans="1:7" x14ac:dyDescent="0.2">
      <c r="A576" s="12">
        <v>44561</v>
      </c>
      <c r="C576" s="2" t="s">
        <v>408</v>
      </c>
      <c r="D576" s="1" t="s">
        <v>9</v>
      </c>
      <c r="F576" s="3">
        <v>40227</v>
      </c>
      <c r="G576" s="9">
        <f t="shared" si="10"/>
        <v>9616506</v>
      </c>
    </row>
    <row r="577" spans="1:7" x14ac:dyDescent="0.2">
      <c r="A577" s="12">
        <v>44561</v>
      </c>
      <c r="C577" s="2" t="s">
        <v>412</v>
      </c>
      <c r="D577" s="1" t="s">
        <v>9</v>
      </c>
      <c r="E577" s="3">
        <f>33099+300546+507164+285652+512120</f>
        <v>1638581</v>
      </c>
      <c r="G577" s="9">
        <f t="shared" si="10"/>
        <v>11255087</v>
      </c>
    </row>
    <row r="578" spans="1:7" ht="15.75" x14ac:dyDescent="0.25">
      <c r="A578" s="10" t="s">
        <v>413</v>
      </c>
      <c r="G578" s="9"/>
    </row>
    <row r="579" spans="1:7" x14ac:dyDescent="0.2">
      <c r="A579" s="11" t="s">
        <v>2</v>
      </c>
      <c r="B579" s="5" t="s">
        <v>1</v>
      </c>
      <c r="C579" s="5" t="s">
        <v>3</v>
      </c>
      <c r="D579" s="5"/>
      <c r="E579" s="7" t="s">
        <v>4</v>
      </c>
      <c r="F579" s="7" t="s">
        <v>6</v>
      </c>
      <c r="G579" s="8" t="s">
        <v>5</v>
      </c>
    </row>
    <row r="580" spans="1:7" x14ac:dyDescent="0.2">
      <c r="A580" s="20">
        <v>44564</v>
      </c>
      <c r="B580" s="21" t="s">
        <v>407</v>
      </c>
      <c r="C580" s="22" t="s">
        <v>416</v>
      </c>
      <c r="D580" s="21" t="s">
        <v>9</v>
      </c>
      <c r="E580" s="23"/>
      <c r="F580" s="23">
        <v>150000</v>
      </c>
      <c r="G580" s="9">
        <f>G577+E580-F580</f>
        <v>11105087</v>
      </c>
    </row>
    <row r="581" spans="1:7" x14ac:dyDescent="0.2">
      <c r="A581" s="12">
        <v>44565</v>
      </c>
      <c r="B581" s="1" t="s">
        <v>417</v>
      </c>
      <c r="C581" s="2" t="s">
        <v>420</v>
      </c>
      <c r="D581" s="1" t="s">
        <v>9</v>
      </c>
      <c r="F581" s="3">
        <v>2841474</v>
      </c>
      <c r="G581" s="9">
        <f t="shared" si="10"/>
        <v>8263613</v>
      </c>
    </row>
    <row r="582" spans="1:7" x14ac:dyDescent="0.2">
      <c r="A582" s="12">
        <v>44566</v>
      </c>
      <c r="C582" s="2" t="s">
        <v>414</v>
      </c>
      <c r="D582" s="1" t="s">
        <v>9</v>
      </c>
      <c r="E582" s="3">
        <f>13175+454760</f>
        <v>467935</v>
      </c>
      <c r="G582" s="9">
        <f t="shared" si="10"/>
        <v>8731548</v>
      </c>
    </row>
    <row r="583" spans="1:7" x14ac:dyDescent="0.2">
      <c r="A583" s="12">
        <v>44571</v>
      </c>
      <c r="C583" s="2" t="s">
        <v>116</v>
      </c>
      <c r="D583" s="1" t="s">
        <v>9</v>
      </c>
      <c r="E583" s="3">
        <v>109032</v>
      </c>
      <c r="G583" s="9">
        <f t="shared" si="10"/>
        <v>8840580</v>
      </c>
    </row>
    <row r="584" spans="1:7" x14ac:dyDescent="0.2">
      <c r="A584" s="12">
        <v>44572</v>
      </c>
      <c r="C584" s="2" t="s">
        <v>418</v>
      </c>
      <c r="D584" s="1" t="s">
        <v>9</v>
      </c>
      <c r="E584" s="3">
        <f>347891+39037+252756+21565+30710+332000+281292+22066+354722</f>
        <v>1682039</v>
      </c>
      <c r="G584" s="9">
        <f t="shared" si="10"/>
        <v>10522619</v>
      </c>
    </row>
    <row r="585" spans="1:7" x14ac:dyDescent="0.2">
      <c r="A585" s="12">
        <v>44573</v>
      </c>
      <c r="C585" s="2" t="s">
        <v>419</v>
      </c>
      <c r="D585" s="1" t="s">
        <v>9</v>
      </c>
      <c r="E585" s="3">
        <v>2968172</v>
      </c>
      <c r="G585" s="9">
        <f t="shared" si="10"/>
        <v>13490791</v>
      </c>
    </row>
    <row r="586" spans="1:7" x14ac:dyDescent="0.2">
      <c r="A586" s="12">
        <v>44573</v>
      </c>
      <c r="C586" s="2" t="s">
        <v>421</v>
      </c>
      <c r="D586" s="1" t="s">
        <v>9</v>
      </c>
      <c r="E586" s="3">
        <f>1110734+1157769+19913</f>
        <v>2288416</v>
      </c>
      <c r="G586" s="9">
        <f t="shared" si="10"/>
        <v>15779207</v>
      </c>
    </row>
    <row r="587" spans="1:7" x14ac:dyDescent="0.2">
      <c r="A587" s="12">
        <v>44575</v>
      </c>
      <c r="C587" s="2" t="s">
        <v>422</v>
      </c>
      <c r="D587" s="1" t="s">
        <v>9</v>
      </c>
      <c r="F587" s="3">
        <f>504000+275</f>
        <v>504275</v>
      </c>
      <c r="G587" s="9">
        <f t="shared" si="10"/>
        <v>15274932</v>
      </c>
    </row>
    <row r="588" spans="1:7" x14ac:dyDescent="0.2">
      <c r="A588" s="12">
        <v>44575</v>
      </c>
      <c r="C588" s="2" t="s">
        <v>423</v>
      </c>
      <c r="D588" s="1" t="s">
        <v>9</v>
      </c>
      <c r="F588" s="3">
        <f>581773+275</f>
        <v>582048</v>
      </c>
      <c r="G588" s="9">
        <f t="shared" si="10"/>
        <v>14692884</v>
      </c>
    </row>
    <row r="589" spans="1:7" x14ac:dyDescent="0.2">
      <c r="A589" s="12">
        <v>44575</v>
      </c>
      <c r="C589" s="2" t="s">
        <v>424</v>
      </c>
      <c r="D589" s="1" t="s">
        <v>9</v>
      </c>
      <c r="F589" s="3">
        <f>285998+275</f>
        <v>286273</v>
      </c>
      <c r="G589" s="9">
        <f t="shared" si="10"/>
        <v>14406611</v>
      </c>
    </row>
    <row r="590" spans="1:7" x14ac:dyDescent="0.2">
      <c r="A590" s="12">
        <v>44575</v>
      </c>
      <c r="C590" s="2" t="s">
        <v>425</v>
      </c>
      <c r="D590" s="1" t="s">
        <v>9</v>
      </c>
      <c r="F590" s="3">
        <f>224613</f>
        <v>224613</v>
      </c>
      <c r="G590" s="9">
        <f t="shared" si="10"/>
        <v>14181998</v>
      </c>
    </row>
    <row r="591" spans="1:7" x14ac:dyDescent="0.2">
      <c r="A591" s="12">
        <v>44575</v>
      </c>
      <c r="C591" s="2" t="s">
        <v>426</v>
      </c>
      <c r="D591" s="1" t="s">
        <v>9</v>
      </c>
      <c r="F591" s="3">
        <f>935000+275</f>
        <v>935275</v>
      </c>
      <c r="G591" s="9">
        <f t="shared" si="10"/>
        <v>13246723</v>
      </c>
    </row>
    <row r="592" spans="1:7" x14ac:dyDescent="0.2">
      <c r="A592" s="12">
        <v>44575</v>
      </c>
      <c r="C592" s="2" t="s">
        <v>365</v>
      </c>
      <c r="D592" s="1" t="s">
        <v>9</v>
      </c>
      <c r="F592" s="3">
        <f>432906+275</f>
        <v>433181</v>
      </c>
      <c r="G592" s="9">
        <f t="shared" si="10"/>
        <v>12813542</v>
      </c>
    </row>
    <row r="593" spans="1:7" x14ac:dyDescent="0.2">
      <c r="A593" s="12">
        <v>44575</v>
      </c>
      <c r="C593" s="2" t="s">
        <v>427</v>
      </c>
      <c r="D593" s="1" t="s">
        <v>9</v>
      </c>
      <c r="F593" s="3">
        <f>522896</f>
        <v>522896</v>
      </c>
      <c r="G593" s="9">
        <f t="shared" si="10"/>
        <v>12290646</v>
      </c>
    </row>
    <row r="594" spans="1:7" x14ac:dyDescent="0.2">
      <c r="A594" s="12">
        <v>44575</v>
      </c>
      <c r="C594" s="2" t="s">
        <v>428</v>
      </c>
      <c r="D594" s="1" t="s">
        <v>9</v>
      </c>
      <c r="F594" s="3">
        <f>1772050</f>
        <v>1772050</v>
      </c>
      <c r="G594" s="9">
        <f t="shared" si="10"/>
        <v>10518596</v>
      </c>
    </row>
    <row r="595" spans="1:7" x14ac:dyDescent="0.2">
      <c r="A595" s="12">
        <v>44578</v>
      </c>
      <c r="C595" s="2" t="s">
        <v>434</v>
      </c>
      <c r="D595" s="1" t="s">
        <v>9</v>
      </c>
      <c r="F595" s="3">
        <f>6067524+158251</f>
        <v>6225775</v>
      </c>
      <c r="G595" s="9">
        <f t="shared" si="10"/>
        <v>4292821</v>
      </c>
    </row>
    <row r="596" spans="1:7" x14ac:dyDescent="0.2">
      <c r="A596" s="12">
        <v>44578</v>
      </c>
      <c r="C596" s="2" t="s">
        <v>137</v>
      </c>
      <c r="D596" s="1" t="s">
        <v>9</v>
      </c>
      <c r="E596" s="3">
        <v>114165</v>
      </c>
      <c r="G596" s="9">
        <f t="shared" si="10"/>
        <v>4406986</v>
      </c>
    </row>
    <row r="597" spans="1:7" x14ac:dyDescent="0.2">
      <c r="A597" s="12">
        <v>44579</v>
      </c>
      <c r="C597" s="2" t="s">
        <v>35</v>
      </c>
      <c r="D597" s="1" t="s">
        <v>9</v>
      </c>
      <c r="F597" s="3">
        <v>6600</v>
      </c>
      <c r="G597" s="9">
        <f t="shared" si="10"/>
        <v>4400386</v>
      </c>
    </row>
    <row r="598" spans="1:7" x14ac:dyDescent="0.2">
      <c r="A598" s="12">
        <v>44580</v>
      </c>
      <c r="B598" s="1" t="s">
        <v>429</v>
      </c>
      <c r="C598" s="2" t="s">
        <v>471</v>
      </c>
      <c r="D598" s="1" t="s">
        <v>9</v>
      </c>
      <c r="F598" s="3">
        <v>165000</v>
      </c>
      <c r="G598" s="9">
        <f t="shared" si="10"/>
        <v>4235386</v>
      </c>
    </row>
    <row r="599" spans="1:7" x14ac:dyDescent="0.2">
      <c r="A599" s="12">
        <v>44580</v>
      </c>
      <c r="B599" s="1" t="s">
        <v>431</v>
      </c>
      <c r="C599" s="2" t="s">
        <v>430</v>
      </c>
      <c r="D599" s="1" t="s">
        <v>9</v>
      </c>
      <c r="F599" s="3">
        <v>1613863</v>
      </c>
      <c r="G599" s="9">
        <f t="shared" si="10"/>
        <v>2621523</v>
      </c>
    </row>
    <row r="600" spans="1:7" x14ac:dyDescent="0.2">
      <c r="A600" s="12">
        <v>44580</v>
      </c>
      <c r="C600" s="2" t="s">
        <v>432</v>
      </c>
      <c r="D600" s="1" t="s">
        <v>9</v>
      </c>
      <c r="F600" s="3">
        <f>62492+3300</f>
        <v>65792</v>
      </c>
      <c r="G600" s="9">
        <f t="shared" si="10"/>
        <v>2555731</v>
      </c>
    </row>
    <row r="601" spans="1:7" x14ac:dyDescent="0.2">
      <c r="A601" s="12">
        <v>44580</v>
      </c>
      <c r="C601" s="2" t="s">
        <v>433</v>
      </c>
      <c r="D601" s="1" t="s">
        <v>9</v>
      </c>
      <c r="F601" s="3">
        <f>8677727+3300</f>
        <v>8681027</v>
      </c>
      <c r="G601" s="9">
        <f t="shared" si="10"/>
        <v>-6125296</v>
      </c>
    </row>
    <row r="602" spans="1:7" x14ac:dyDescent="0.2">
      <c r="A602" s="20">
        <v>44580</v>
      </c>
      <c r="B602" s="21" t="s">
        <v>435</v>
      </c>
      <c r="C602" s="22" t="s">
        <v>437</v>
      </c>
      <c r="D602" s="21" t="s">
        <v>9</v>
      </c>
      <c r="E602" s="23"/>
      <c r="F602" s="23">
        <v>7993962</v>
      </c>
      <c r="G602" s="9">
        <f t="shared" si="10"/>
        <v>-14119258</v>
      </c>
    </row>
    <row r="603" spans="1:7" x14ac:dyDescent="0.2">
      <c r="A603" s="12">
        <v>44580</v>
      </c>
      <c r="C603" s="2" t="s">
        <v>436</v>
      </c>
      <c r="D603" s="1" t="s">
        <v>9</v>
      </c>
      <c r="F603" s="3">
        <v>2200</v>
      </c>
      <c r="G603" s="9">
        <f t="shared" si="10"/>
        <v>-14121458</v>
      </c>
    </row>
    <row r="604" spans="1:7" x14ac:dyDescent="0.2">
      <c r="A604" s="12">
        <v>44581</v>
      </c>
      <c r="C604" s="2" t="s">
        <v>439</v>
      </c>
      <c r="D604" s="1" t="s">
        <v>9</v>
      </c>
      <c r="E604" s="3">
        <f>86659+91050+27258+44894+76700+403914+73066</f>
        <v>803541</v>
      </c>
      <c r="G604" s="9">
        <f t="shared" si="10"/>
        <v>-13317917</v>
      </c>
    </row>
    <row r="605" spans="1:7" x14ac:dyDescent="0.2">
      <c r="A605" s="12">
        <v>44581</v>
      </c>
      <c r="C605" s="2" t="s">
        <v>436</v>
      </c>
      <c r="D605" s="1" t="s">
        <v>9</v>
      </c>
      <c r="F605" s="3">
        <v>4400</v>
      </c>
      <c r="G605" s="9">
        <f t="shared" si="10"/>
        <v>-13322317</v>
      </c>
    </row>
    <row r="606" spans="1:7" x14ac:dyDescent="0.2">
      <c r="A606" s="12">
        <v>44581</v>
      </c>
      <c r="C606" s="2" t="s">
        <v>436</v>
      </c>
      <c r="D606" s="1" t="s">
        <v>9</v>
      </c>
      <c r="F606" s="3">
        <v>4400</v>
      </c>
      <c r="G606" s="9">
        <f t="shared" si="10"/>
        <v>-13326717</v>
      </c>
    </row>
    <row r="607" spans="1:7" x14ac:dyDescent="0.2">
      <c r="A607" s="12">
        <v>44582</v>
      </c>
      <c r="C607" s="2" t="s">
        <v>440</v>
      </c>
      <c r="D607" s="1" t="s">
        <v>9</v>
      </c>
      <c r="E607" s="3">
        <v>971799</v>
      </c>
      <c r="G607" s="9">
        <f t="shared" si="10"/>
        <v>-12354918</v>
      </c>
    </row>
    <row r="608" spans="1:7" x14ac:dyDescent="0.2">
      <c r="A608" s="12">
        <v>44582</v>
      </c>
      <c r="C608" s="2" t="s">
        <v>438</v>
      </c>
      <c r="D608" s="1" t="s">
        <v>9</v>
      </c>
      <c r="E608" s="3">
        <f>411018+2974+134237+102056+8124+65015+67024</f>
        <v>790448</v>
      </c>
      <c r="G608" s="9">
        <f t="shared" si="10"/>
        <v>-11564470</v>
      </c>
    </row>
    <row r="609" spans="1:9" x14ac:dyDescent="0.2">
      <c r="A609" s="12">
        <v>44586</v>
      </c>
      <c r="C609" s="2" t="s">
        <v>296</v>
      </c>
      <c r="D609" s="1" t="s">
        <v>9</v>
      </c>
      <c r="E609" s="3">
        <v>700000</v>
      </c>
      <c r="G609" s="9">
        <f t="shared" si="10"/>
        <v>-10864470</v>
      </c>
    </row>
    <row r="610" spans="1:9" x14ac:dyDescent="0.2">
      <c r="A610" s="12">
        <v>44586</v>
      </c>
      <c r="C610" s="2" t="s">
        <v>53</v>
      </c>
      <c r="D610" s="1" t="s">
        <v>9</v>
      </c>
      <c r="F610" s="3">
        <v>100</v>
      </c>
      <c r="G610" s="9">
        <f t="shared" si="10"/>
        <v>-10864570</v>
      </c>
    </row>
    <row r="611" spans="1:9" x14ac:dyDescent="0.2">
      <c r="A611" s="12">
        <v>44586</v>
      </c>
      <c r="C611" s="2" t="s">
        <v>27</v>
      </c>
      <c r="D611" s="1" t="s">
        <v>9</v>
      </c>
      <c r="F611" s="3">
        <v>150000</v>
      </c>
      <c r="G611" s="9">
        <f t="shared" si="10"/>
        <v>-11014570</v>
      </c>
    </row>
    <row r="612" spans="1:9" x14ac:dyDescent="0.2">
      <c r="A612" s="12">
        <v>44586</v>
      </c>
      <c r="C612" s="2" t="s">
        <v>442</v>
      </c>
      <c r="D612" s="1" t="s">
        <v>9</v>
      </c>
      <c r="E612" s="3">
        <v>734060</v>
      </c>
      <c r="G612" s="9">
        <f t="shared" si="10"/>
        <v>-10280510</v>
      </c>
    </row>
    <row r="613" spans="1:9" x14ac:dyDescent="0.2">
      <c r="A613" s="12">
        <v>44588</v>
      </c>
      <c r="B613" s="21" t="s">
        <v>441</v>
      </c>
      <c r="C613" s="22" t="s">
        <v>150</v>
      </c>
      <c r="D613" s="1" t="s">
        <v>9</v>
      </c>
      <c r="F613" s="3">
        <v>114000</v>
      </c>
      <c r="G613" s="9">
        <f t="shared" si="10"/>
        <v>-10394510</v>
      </c>
    </row>
    <row r="614" spans="1:9" x14ac:dyDescent="0.2">
      <c r="A614" s="12">
        <v>44588</v>
      </c>
      <c r="C614" s="2" t="s">
        <v>436</v>
      </c>
      <c r="D614" s="1" t="s">
        <v>9</v>
      </c>
      <c r="F614" s="3">
        <v>2200</v>
      </c>
      <c r="G614" s="9">
        <f t="shared" si="10"/>
        <v>-10396710</v>
      </c>
    </row>
    <row r="615" spans="1:9" x14ac:dyDescent="0.2">
      <c r="A615" s="12">
        <v>44589</v>
      </c>
      <c r="C615" s="2" t="s">
        <v>443</v>
      </c>
      <c r="D615" s="1" t="s">
        <v>9</v>
      </c>
      <c r="E615" s="3">
        <v>65284</v>
      </c>
      <c r="G615" s="9">
        <f t="shared" si="10"/>
        <v>-10331426</v>
      </c>
    </row>
    <row r="616" spans="1:9" x14ac:dyDescent="0.2">
      <c r="A616" s="12">
        <v>44589</v>
      </c>
      <c r="C616" s="2" t="s">
        <v>443</v>
      </c>
      <c r="D616" s="1" t="s">
        <v>9</v>
      </c>
      <c r="E616" s="3">
        <v>92849</v>
      </c>
      <c r="G616" s="9">
        <f t="shared" si="10"/>
        <v>-10238577</v>
      </c>
    </row>
    <row r="617" spans="1:9" x14ac:dyDescent="0.2">
      <c r="A617" s="12">
        <v>44589</v>
      </c>
      <c r="C617" s="2" t="s">
        <v>443</v>
      </c>
      <c r="D617" s="1" t="s">
        <v>9</v>
      </c>
      <c r="E617" s="3">
        <v>107361</v>
      </c>
      <c r="G617" s="9">
        <f t="shared" si="10"/>
        <v>-10131216</v>
      </c>
    </row>
    <row r="618" spans="1:9" x14ac:dyDescent="0.2">
      <c r="A618" s="12">
        <v>44589</v>
      </c>
      <c r="C618" s="2" t="s">
        <v>296</v>
      </c>
      <c r="D618" s="1" t="s">
        <v>9</v>
      </c>
      <c r="E618" s="3">
        <v>2000000</v>
      </c>
      <c r="G618" s="9">
        <f t="shared" si="10"/>
        <v>-8131216</v>
      </c>
    </row>
    <row r="619" spans="1:9" x14ac:dyDescent="0.2">
      <c r="A619" s="12">
        <v>44589</v>
      </c>
      <c r="C619" s="2" t="s">
        <v>444</v>
      </c>
      <c r="D619" s="1" t="s">
        <v>9</v>
      </c>
      <c r="E619" s="3">
        <f>175407+179832+41064</f>
        <v>396303</v>
      </c>
      <c r="G619" s="9">
        <f t="shared" si="10"/>
        <v>-7734913</v>
      </c>
    </row>
    <row r="620" spans="1:9" x14ac:dyDescent="0.2">
      <c r="A620" s="12">
        <v>44589</v>
      </c>
      <c r="C620" s="2" t="s">
        <v>53</v>
      </c>
      <c r="D620" s="1" t="s">
        <v>9</v>
      </c>
      <c r="F620" s="3">
        <v>100</v>
      </c>
      <c r="G620" s="9">
        <f t="shared" si="10"/>
        <v>-7735013</v>
      </c>
    </row>
    <row r="621" spans="1:9" x14ac:dyDescent="0.2">
      <c r="A621" s="12">
        <v>44592</v>
      </c>
      <c r="C621" s="2" t="s">
        <v>445</v>
      </c>
      <c r="D621" s="1" t="s">
        <v>9</v>
      </c>
      <c r="F621" s="3">
        <v>122634</v>
      </c>
      <c r="G621" s="9">
        <f t="shared" si="10"/>
        <v>-7857647</v>
      </c>
      <c r="I621" s="24">
        <v>-7248920</v>
      </c>
    </row>
    <row r="622" spans="1:9" x14ac:dyDescent="0.2">
      <c r="A622" s="12">
        <v>44592</v>
      </c>
      <c r="C622" s="2" t="s">
        <v>116</v>
      </c>
      <c r="D622" s="1" t="s">
        <v>9</v>
      </c>
      <c r="E622" s="3">
        <v>443727</v>
      </c>
      <c r="G622" s="9">
        <f t="shared" si="10"/>
        <v>-7413920</v>
      </c>
      <c r="I622" s="9">
        <f>I621-F598</f>
        <v>-7413920</v>
      </c>
    </row>
    <row r="623" spans="1:9" ht="15.75" x14ac:dyDescent="0.25">
      <c r="A623" s="10" t="s">
        <v>462</v>
      </c>
      <c r="G623" s="9"/>
    </row>
    <row r="624" spans="1:9" x14ac:dyDescent="0.2">
      <c r="A624" s="11" t="s">
        <v>2</v>
      </c>
      <c r="B624" s="5" t="s">
        <v>1</v>
      </c>
      <c r="C624" s="5" t="s">
        <v>3</v>
      </c>
      <c r="D624" s="5"/>
      <c r="E624" s="7" t="s">
        <v>4</v>
      </c>
      <c r="F624" s="7" t="s">
        <v>6</v>
      </c>
      <c r="G624" s="8" t="s">
        <v>5</v>
      </c>
    </row>
    <row r="625" spans="1:7" x14ac:dyDescent="0.2">
      <c r="A625" s="12">
        <v>44595</v>
      </c>
      <c r="C625" s="2" t="s">
        <v>446</v>
      </c>
      <c r="D625" s="1" t="s">
        <v>9</v>
      </c>
      <c r="F625" s="3">
        <f>1967273</f>
        <v>1967273</v>
      </c>
      <c r="G625" s="9">
        <f>G622+E625-F625</f>
        <v>-9381193</v>
      </c>
    </row>
    <row r="626" spans="1:7" x14ac:dyDescent="0.2">
      <c r="A626" s="12">
        <v>44595</v>
      </c>
      <c r="C626" s="2" t="s">
        <v>447</v>
      </c>
      <c r="D626" s="1" t="s">
        <v>9</v>
      </c>
      <c r="F626" s="3">
        <v>2069300</v>
      </c>
      <c r="G626" s="9">
        <f t="shared" si="10"/>
        <v>-11450493</v>
      </c>
    </row>
    <row r="627" spans="1:7" x14ac:dyDescent="0.2">
      <c r="A627" s="12">
        <v>44595</v>
      </c>
      <c r="C627" s="2" t="s">
        <v>34</v>
      </c>
      <c r="D627" s="1" t="s">
        <v>9</v>
      </c>
      <c r="F627" s="3">
        <v>1100</v>
      </c>
      <c r="G627" s="9">
        <f t="shared" si="10"/>
        <v>-11451593</v>
      </c>
    </row>
    <row r="628" spans="1:7" x14ac:dyDescent="0.2">
      <c r="A628" s="12">
        <v>44595</v>
      </c>
      <c r="C628" s="2" t="s">
        <v>448</v>
      </c>
      <c r="D628" s="1" t="s">
        <v>9</v>
      </c>
      <c r="E628" s="3">
        <f>38751+56640+272415+421685+1103501</f>
        <v>1892992</v>
      </c>
      <c r="G628" s="9">
        <f t="shared" si="10"/>
        <v>-9558601</v>
      </c>
    </row>
    <row r="629" spans="1:7" x14ac:dyDescent="0.2">
      <c r="A629" s="12">
        <v>44595</v>
      </c>
      <c r="C629" s="2" t="s">
        <v>449</v>
      </c>
      <c r="D629" s="1" t="s">
        <v>9</v>
      </c>
      <c r="E629" s="3">
        <v>835499</v>
      </c>
      <c r="G629" s="9">
        <f t="shared" si="10"/>
        <v>-8723102</v>
      </c>
    </row>
    <row r="630" spans="1:7" x14ac:dyDescent="0.2">
      <c r="A630" s="12">
        <v>44595</v>
      </c>
      <c r="C630" s="2" t="s">
        <v>84</v>
      </c>
      <c r="D630" s="1" t="s">
        <v>9</v>
      </c>
      <c r="F630" s="3">
        <v>185185</v>
      </c>
      <c r="G630" s="9">
        <f t="shared" si="10"/>
        <v>-8908287</v>
      </c>
    </row>
    <row r="631" spans="1:7" x14ac:dyDescent="0.2">
      <c r="A631" s="12">
        <v>44595</v>
      </c>
      <c r="C631" s="2" t="s">
        <v>436</v>
      </c>
      <c r="D631" s="1" t="s">
        <v>9</v>
      </c>
      <c r="F631" s="3">
        <v>4400</v>
      </c>
      <c r="G631" s="9">
        <f t="shared" si="10"/>
        <v>-8912687</v>
      </c>
    </row>
    <row r="632" spans="1:7" x14ac:dyDescent="0.2">
      <c r="A632" s="12">
        <v>44595</v>
      </c>
      <c r="C632" s="2" t="s">
        <v>436</v>
      </c>
      <c r="D632" s="1" t="s">
        <v>9</v>
      </c>
      <c r="F632" s="3">
        <v>4400</v>
      </c>
      <c r="G632" s="9">
        <f t="shared" si="10"/>
        <v>-8917087</v>
      </c>
    </row>
    <row r="633" spans="1:7" x14ac:dyDescent="0.2">
      <c r="A633" s="12">
        <v>44600</v>
      </c>
      <c r="C633" s="2" t="s">
        <v>457</v>
      </c>
      <c r="D633" s="1" t="s">
        <v>9</v>
      </c>
      <c r="E633" s="3">
        <f>128384+411206</f>
        <v>539590</v>
      </c>
      <c r="G633" s="9">
        <f t="shared" ref="G633:G639" si="11">G632+E633-F633</f>
        <v>-8377497</v>
      </c>
    </row>
    <row r="634" spans="1:7" x14ac:dyDescent="0.2">
      <c r="A634" s="12">
        <v>44600</v>
      </c>
      <c r="C634" s="2" t="s">
        <v>458</v>
      </c>
      <c r="D634" s="1" t="s">
        <v>9</v>
      </c>
      <c r="E634" s="3">
        <f>67024+164388+63437+1103374+32096+84342+189390+111010+100300</f>
        <v>1915361</v>
      </c>
      <c r="G634" s="9">
        <f t="shared" si="11"/>
        <v>-6462136</v>
      </c>
    </row>
    <row r="635" spans="1:7" x14ac:dyDescent="0.2">
      <c r="A635" s="12">
        <v>44601</v>
      </c>
      <c r="C635" s="2" t="s">
        <v>35</v>
      </c>
      <c r="D635" s="1" t="s">
        <v>9</v>
      </c>
      <c r="F635" s="3">
        <v>6600</v>
      </c>
      <c r="G635" s="9">
        <f t="shared" si="11"/>
        <v>-6468736</v>
      </c>
    </row>
    <row r="636" spans="1:7" x14ac:dyDescent="0.2">
      <c r="A636" s="12">
        <v>44602</v>
      </c>
      <c r="C636" s="2" t="s">
        <v>450</v>
      </c>
      <c r="D636" s="1" t="s">
        <v>9</v>
      </c>
      <c r="F636" s="3">
        <f>443751</f>
        <v>443751</v>
      </c>
      <c r="G636" s="9">
        <f t="shared" si="11"/>
        <v>-6912487</v>
      </c>
    </row>
    <row r="637" spans="1:7" x14ac:dyDescent="0.2">
      <c r="A637" s="12">
        <v>44602</v>
      </c>
      <c r="C637" s="2" t="s">
        <v>451</v>
      </c>
      <c r="D637" s="1" t="s">
        <v>9</v>
      </c>
      <c r="F637" s="3">
        <f>449368</f>
        <v>449368</v>
      </c>
      <c r="G637" s="9">
        <f t="shared" si="11"/>
        <v>-7361855</v>
      </c>
    </row>
    <row r="638" spans="1:7" x14ac:dyDescent="0.2">
      <c r="A638" s="12">
        <v>44602</v>
      </c>
      <c r="C638" s="2" t="s">
        <v>452</v>
      </c>
      <c r="D638" s="1" t="s">
        <v>9</v>
      </c>
      <c r="F638" s="3">
        <f>207938</f>
        <v>207938</v>
      </c>
      <c r="G638" s="9">
        <f t="shared" si="11"/>
        <v>-7569793</v>
      </c>
    </row>
    <row r="639" spans="1:7" x14ac:dyDescent="0.2">
      <c r="A639" s="12">
        <v>44602</v>
      </c>
      <c r="C639" s="2" t="s">
        <v>453</v>
      </c>
      <c r="D639" s="1" t="s">
        <v>9</v>
      </c>
      <c r="F639" s="3">
        <f>662982+275</f>
        <v>663257</v>
      </c>
      <c r="G639" s="9">
        <f t="shared" si="11"/>
        <v>-8233050</v>
      </c>
    </row>
    <row r="640" spans="1:7" x14ac:dyDescent="0.2">
      <c r="A640" s="12">
        <v>44602</v>
      </c>
      <c r="C640" s="2" t="s">
        <v>454</v>
      </c>
      <c r="D640" s="1" t="s">
        <v>9</v>
      </c>
      <c r="F640" s="3">
        <f>51428</f>
        <v>51428</v>
      </c>
      <c r="G640" s="9">
        <f t="shared" ref="G640:G645" si="12">G639+E640-F640</f>
        <v>-8284478</v>
      </c>
    </row>
    <row r="641" spans="1:7" x14ac:dyDescent="0.2">
      <c r="A641" s="12">
        <v>44602</v>
      </c>
      <c r="C641" s="2" t="s">
        <v>455</v>
      </c>
      <c r="D641" s="1" t="s">
        <v>9</v>
      </c>
      <c r="F641" s="3">
        <f>267979+275</f>
        <v>268254</v>
      </c>
      <c r="G641" s="9">
        <f t="shared" si="12"/>
        <v>-8552732</v>
      </c>
    </row>
    <row r="642" spans="1:7" x14ac:dyDescent="0.2">
      <c r="A642" s="12">
        <v>44602</v>
      </c>
      <c r="C642" s="2" t="s">
        <v>456</v>
      </c>
      <c r="D642" s="1" t="s">
        <v>9</v>
      </c>
      <c r="F642" s="3">
        <f>935000+275</f>
        <v>935275</v>
      </c>
      <c r="G642" s="9">
        <f t="shared" si="12"/>
        <v>-9488007</v>
      </c>
    </row>
    <row r="643" spans="1:7" x14ac:dyDescent="0.2">
      <c r="A643" s="12">
        <v>44602</v>
      </c>
      <c r="C643" s="2" t="s">
        <v>365</v>
      </c>
      <c r="D643" s="1" t="s">
        <v>9</v>
      </c>
      <c r="F643" s="3">
        <f>432906+275</f>
        <v>433181</v>
      </c>
      <c r="G643" s="9">
        <f t="shared" si="12"/>
        <v>-9921188</v>
      </c>
    </row>
    <row r="644" spans="1:7" x14ac:dyDescent="0.2">
      <c r="A644" s="12">
        <v>44602</v>
      </c>
      <c r="C644" s="2" t="s">
        <v>459</v>
      </c>
      <c r="D644" s="1" t="s">
        <v>9</v>
      </c>
      <c r="F644" s="3">
        <f>1052748+275</f>
        <v>1053023</v>
      </c>
      <c r="G644" s="9">
        <f t="shared" si="12"/>
        <v>-10974211</v>
      </c>
    </row>
    <row r="645" spans="1:7" x14ac:dyDescent="0.2">
      <c r="A645" s="12">
        <v>44602</v>
      </c>
      <c r="C645" s="2" t="s">
        <v>460</v>
      </c>
      <c r="D645" s="1" t="s">
        <v>9</v>
      </c>
      <c r="E645" s="3">
        <f>499140+273642+101997+784700</f>
        <v>1659479</v>
      </c>
      <c r="G645" s="9">
        <f t="shared" si="12"/>
        <v>-9314732</v>
      </c>
    </row>
    <row r="646" spans="1:7" x14ac:dyDescent="0.2">
      <c r="A646" s="12">
        <v>44602</v>
      </c>
      <c r="C646" s="2" t="s">
        <v>296</v>
      </c>
      <c r="D646" s="1" t="s">
        <v>9</v>
      </c>
      <c r="E646" s="3">
        <v>800000</v>
      </c>
      <c r="G646" s="9">
        <f t="shared" ref="G646:G711" si="13">G645+E646-F646</f>
        <v>-8514732</v>
      </c>
    </row>
    <row r="647" spans="1:7" x14ac:dyDescent="0.2">
      <c r="A647" s="12">
        <v>44602</v>
      </c>
      <c r="C647" s="2" t="s">
        <v>436</v>
      </c>
      <c r="D647" s="1" t="s">
        <v>9</v>
      </c>
      <c r="F647" s="3">
        <v>4400</v>
      </c>
      <c r="G647" s="9">
        <f t="shared" si="13"/>
        <v>-8519132</v>
      </c>
    </row>
    <row r="648" spans="1:7" x14ac:dyDescent="0.2">
      <c r="A648" s="12">
        <v>44602</v>
      </c>
      <c r="C648" s="2" t="s">
        <v>436</v>
      </c>
      <c r="D648" s="1" t="s">
        <v>9</v>
      </c>
      <c r="F648" s="3">
        <v>4400</v>
      </c>
      <c r="G648" s="9">
        <f t="shared" si="13"/>
        <v>-8523532</v>
      </c>
    </row>
    <row r="649" spans="1:7" x14ac:dyDescent="0.2">
      <c r="A649" s="12">
        <v>44602</v>
      </c>
      <c r="C649" s="2" t="s">
        <v>436</v>
      </c>
      <c r="D649" s="1" t="s">
        <v>9</v>
      </c>
      <c r="F649" s="3">
        <v>4400</v>
      </c>
      <c r="G649" s="9">
        <f t="shared" si="13"/>
        <v>-8527932</v>
      </c>
    </row>
    <row r="650" spans="1:7" x14ac:dyDescent="0.2">
      <c r="A650" s="12">
        <v>44602</v>
      </c>
      <c r="C650" s="2" t="s">
        <v>436</v>
      </c>
      <c r="D650" s="1" t="s">
        <v>9</v>
      </c>
      <c r="F650" s="3">
        <v>4400</v>
      </c>
      <c r="G650" s="9">
        <f t="shared" si="13"/>
        <v>-8532332</v>
      </c>
    </row>
    <row r="651" spans="1:7" x14ac:dyDescent="0.2">
      <c r="A651" s="12">
        <v>44602</v>
      </c>
      <c r="C651" s="2" t="s">
        <v>436</v>
      </c>
      <c r="D651" s="1" t="s">
        <v>9</v>
      </c>
      <c r="F651" s="3">
        <v>4400</v>
      </c>
      <c r="G651" s="9">
        <f t="shared" si="13"/>
        <v>-8536732</v>
      </c>
    </row>
    <row r="652" spans="1:7" x14ac:dyDescent="0.2">
      <c r="A652" s="12">
        <v>44602</v>
      </c>
      <c r="C652" s="2" t="s">
        <v>436</v>
      </c>
      <c r="D652" s="1" t="s">
        <v>9</v>
      </c>
      <c r="F652" s="3">
        <v>4400</v>
      </c>
      <c r="G652" s="9">
        <f t="shared" si="13"/>
        <v>-8541132</v>
      </c>
    </row>
    <row r="653" spans="1:7" x14ac:dyDescent="0.2">
      <c r="A653" s="12">
        <v>44602</v>
      </c>
      <c r="C653" s="2" t="s">
        <v>436</v>
      </c>
      <c r="D653" s="1" t="s">
        <v>9</v>
      </c>
      <c r="F653" s="3">
        <v>4400</v>
      </c>
      <c r="G653" s="9">
        <f t="shared" si="13"/>
        <v>-8545532</v>
      </c>
    </row>
    <row r="654" spans="1:7" x14ac:dyDescent="0.2">
      <c r="A654" s="12">
        <v>44602</v>
      </c>
      <c r="C654" s="2" t="s">
        <v>436</v>
      </c>
      <c r="D654" s="1" t="s">
        <v>9</v>
      </c>
      <c r="F654" s="3">
        <v>4400</v>
      </c>
      <c r="G654" s="9">
        <f t="shared" si="13"/>
        <v>-8549932</v>
      </c>
    </row>
    <row r="655" spans="1:7" x14ac:dyDescent="0.2">
      <c r="A655" s="12">
        <v>44602</v>
      </c>
      <c r="C655" s="2" t="s">
        <v>436</v>
      </c>
      <c r="D655" s="1" t="s">
        <v>9</v>
      </c>
      <c r="F655" s="3">
        <v>4400</v>
      </c>
      <c r="G655" s="9">
        <f t="shared" si="13"/>
        <v>-8554332</v>
      </c>
    </row>
    <row r="656" spans="1:7" x14ac:dyDescent="0.2">
      <c r="A656" s="12">
        <v>44602</v>
      </c>
      <c r="C656" s="2" t="s">
        <v>53</v>
      </c>
      <c r="D656" s="1" t="s">
        <v>9</v>
      </c>
      <c r="F656" s="3">
        <v>100</v>
      </c>
      <c r="G656" s="9">
        <f t="shared" si="13"/>
        <v>-8554432</v>
      </c>
    </row>
    <row r="657" spans="1:7" x14ac:dyDescent="0.2">
      <c r="A657" s="12">
        <v>44602</v>
      </c>
      <c r="C657" s="2" t="s">
        <v>76</v>
      </c>
      <c r="D657" s="1" t="s">
        <v>9</v>
      </c>
      <c r="E657" s="3">
        <v>7080</v>
      </c>
      <c r="G657" s="9">
        <f t="shared" si="13"/>
        <v>-8547352</v>
      </c>
    </row>
    <row r="658" spans="1:7" x14ac:dyDescent="0.2">
      <c r="A658" s="12">
        <v>44603</v>
      </c>
      <c r="C658" s="2" t="s">
        <v>35</v>
      </c>
      <c r="D658" s="1" t="s">
        <v>9</v>
      </c>
      <c r="F658" s="3">
        <v>6600</v>
      </c>
      <c r="G658" s="9">
        <f t="shared" si="13"/>
        <v>-8553952</v>
      </c>
    </row>
    <row r="659" spans="1:7" x14ac:dyDescent="0.2">
      <c r="A659" s="12">
        <v>44607</v>
      </c>
      <c r="C659" s="2" t="s">
        <v>461</v>
      </c>
      <c r="D659" s="1" t="s">
        <v>9</v>
      </c>
      <c r="E659" s="3">
        <f>442122+78234+190275</f>
        <v>710631</v>
      </c>
      <c r="G659" s="9">
        <f t="shared" si="13"/>
        <v>-7843321</v>
      </c>
    </row>
    <row r="660" spans="1:7" x14ac:dyDescent="0.2">
      <c r="A660" s="12">
        <v>44609</v>
      </c>
      <c r="C660" s="2" t="s">
        <v>296</v>
      </c>
      <c r="D660" s="1" t="s">
        <v>9</v>
      </c>
      <c r="E660" s="3">
        <v>700000</v>
      </c>
      <c r="G660" s="9">
        <f t="shared" si="13"/>
        <v>-7143321</v>
      </c>
    </row>
    <row r="661" spans="1:7" x14ac:dyDescent="0.2">
      <c r="A661" s="12">
        <v>44609</v>
      </c>
      <c r="C661" s="2" t="s">
        <v>35</v>
      </c>
      <c r="D661" s="1" t="s">
        <v>9</v>
      </c>
      <c r="F661" s="3">
        <v>6600</v>
      </c>
      <c r="G661" s="9">
        <f t="shared" si="13"/>
        <v>-7149921</v>
      </c>
    </row>
    <row r="662" spans="1:7" x14ac:dyDescent="0.2">
      <c r="A662" s="12">
        <v>44609</v>
      </c>
      <c r="C662" s="2" t="s">
        <v>466</v>
      </c>
      <c r="D662" s="1" t="s">
        <v>9</v>
      </c>
      <c r="F662" s="3">
        <v>157882</v>
      </c>
      <c r="G662" s="9">
        <f t="shared" si="13"/>
        <v>-7307803</v>
      </c>
    </row>
    <row r="663" spans="1:7" x14ac:dyDescent="0.2">
      <c r="A663" s="12">
        <v>44609</v>
      </c>
      <c r="C663" s="2" t="s">
        <v>227</v>
      </c>
      <c r="D663" s="1" t="s">
        <v>9</v>
      </c>
      <c r="F663" s="3">
        <v>3300</v>
      </c>
      <c r="G663" s="9">
        <f t="shared" si="13"/>
        <v>-7311103</v>
      </c>
    </row>
    <row r="664" spans="1:7" x14ac:dyDescent="0.2">
      <c r="A664" s="12">
        <v>44609</v>
      </c>
      <c r="C664" s="2" t="s">
        <v>53</v>
      </c>
      <c r="D664" s="1" t="s">
        <v>9</v>
      </c>
      <c r="F664" s="3">
        <v>100</v>
      </c>
      <c r="G664" s="9">
        <f t="shared" si="13"/>
        <v>-7311203</v>
      </c>
    </row>
    <row r="665" spans="1:7" x14ac:dyDescent="0.2">
      <c r="A665" s="12">
        <v>44609</v>
      </c>
      <c r="C665" s="2" t="s">
        <v>463</v>
      </c>
      <c r="D665" s="1" t="s">
        <v>9</v>
      </c>
      <c r="E665" s="3">
        <f>576251+23120+51566+198541+3772874+245334+41123+56750+177000</f>
        <v>5142559</v>
      </c>
      <c r="G665" s="9">
        <f t="shared" si="13"/>
        <v>-2168644</v>
      </c>
    </row>
    <row r="666" spans="1:7" x14ac:dyDescent="0.2">
      <c r="A666" s="12">
        <v>44609</v>
      </c>
      <c r="B666" s="21" t="s">
        <v>464</v>
      </c>
      <c r="C666" s="22" t="s">
        <v>465</v>
      </c>
      <c r="D666" s="1" t="s">
        <v>9</v>
      </c>
      <c r="F666" s="3">
        <v>165000</v>
      </c>
      <c r="G666" s="9">
        <f t="shared" si="13"/>
        <v>-2333644</v>
      </c>
    </row>
    <row r="667" spans="1:7" x14ac:dyDescent="0.2">
      <c r="A667" s="12">
        <v>44610</v>
      </c>
      <c r="C667" s="2" t="s">
        <v>467</v>
      </c>
      <c r="D667" s="1" t="s">
        <v>9</v>
      </c>
      <c r="F667" s="3">
        <f>2803066</f>
        <v>2803066</v>
      </c>
      <c r="G667" s="9">
        <f t="shared" si="13"/>
        <v>-5136710</v>
      </c>
    </row>
    <row r="668" spans="1:7" x14ac:dyDescent="0.2">
      <c r="A668" s="12">
        <v>44610</v>
      </c>
      <c r="C668" s="2" t="s">
        <v>468</v>
      </c>
      <c r="D668" s="1" t="s">
        <v>9</v>
      </c>
      <c r="E668" s="3">
        <f>445658+16008+12685+163936+62127+185968+448788</f>
        <v>1335170</v>
      </c>
      <c r="G668" s="9">
        <f t="shared" si="13"/>
        <v>-3801540</v>
      </c>
    </row>
    <row r="669" spans="1:7" x14ac:dyDescent="0.2">
      <c r="A669" s="12">
        <v>44610</v>
      </c>
      <c r="C669" s="2" t="s">
        <v>35</v>
      </c>
      <c r="D669" s="1" t="s">
        <v>9</v>
      </c>
      <c r="F669" s="3">
        <v>6600</v>
      </c>
      <c r="G669" s="9">
        <f t="shared" si="13"/>
        <v>-3808140</v>
      </c>
    </row>
    <row r="670" spans="1:7" x14ac:dyDescent="0.2">
      <c r="A670" s="12">
        <v>44613</v>
      </c>
      <c r="C670" s="2" t="s">
        <v>469</v>
      </c>
      <c r="D670" s="1" t="s">
        <v>9</v>
      </c>
      <c r="E670" s="3">
        <f>27140+2040549+1456455+553125</f>
        <v>4077269</v>
      </c>
      <c r="G670" s="9">
        <f t="shared" si="13"/>
        <v>269129</v>
      </c>
    </row>
    <row r="671" spans="1:7" x14ac:dyDescent="0.2">
      <c r="A671" s="12">
        <v>44614</v>
      </c>
      <c r="C671" s="2" t="s">
        <v>470</v>
      </c>
      <c r="D671" s="1" t="s">
        <v>9</v>
      </c>
      <c r="F671" s="3">
        <f>5197326</f>
        <v>5197326</v>
      </c>
      <c r="G671" s="9">
        <f t="shared" si="13"/>
        <v>-4928197</v>
      </c>
    </row>
    <row r="672" spans="1:7" x14ac:dyDescent="0.2">
      <c r="A672" s="12">
        <v>44615</v>
      </c>
      <c r="C672" s="2" t="s">
        <v>35</v>
      </c>
      <c r="D672" s="1" t="s">
        <v>9</v>
      </c>
      <c r="F672" s="3">
        <v>6600</v>
      </c>
      <c r="G672" s="9">
        <f t="shared" si="13"/>
        <v>-4934797</v>
      </c>
    </row>
    <row r="673" spans="1:7" x14ac:dyDescent="0.2">
      <c r="A673" s="12">
        <v>44616</v>
      </c>
      <c r="C673" s="2" t="s">
        <v>473</v>
      </c>
      <c r="D673" s="1" t="s">
        <v>9</v>
      </c>
      <c r="E673" s="3">
        <f>477843+316110+156144+622813+537195+72116+37170</f>
        <v>2219391</v>
      </c>
      <c r="G673" s="9">
        <f t="shared" si="13"/>
        <v>-2715406</v>
      </c>
    </row>
    <row r="674" spans="1:7" x14ac:dyDescent="0.2">
      <c r="A674" s="12">
        <v>44617</v>
      </c>
      <c r="C674" s="2" t="s">
        <v>27</v>
      </c>
      <c r="D674" s="1" t="s">
        <v>9</v>
      </c>
      <c r="F674" s="3">
        <v>150000</v>
      </c>
      <c r="G674" s="9">
        <f t="shared" si="13"/>
        <v>-2865406</v>
      </c>
    </row>
    <row r="675" spans="1:7" x14ac:dyDescent="0.2">
      <c r="A675" s="12">
        <v>44620</v>
      </c>
      <c r="C675" s="2" t="s">
        <v>475</v>
      </c>
      <c r="D675" s="1" t="s">
        <v>9</v>
      </c>
      <c r="F675" s="3">
        <v>121108</v>
      </c>
      <c r="G675" s="9">
        <f t="shared" si="13"/>
        <v>-2986514</v>
      </c>
    </row>
    <row r="676" spans="1:7" ht="15.75" x14ac:dyDescent="0.25">
      <c r="A676" s="10" t="s">
        <v>476</v>
      </c>
      <c r="G676" s="9"/>
    </row>
    <row r="677" spans="1:7" x14ac:dyDescent="0.2">
      <c r="A677" s="11" t="s">
        <v>2</v>
      </c>
      <c r="B677" s="5" t="s">
        <v>1</v>
      </c>
      <c r="C677" s="5" t="s">
        <v>3</v>
      </c>
      <c r="D677" s="5"/>
      <c r="E677" s="7" t="s">
        <v>4</v>
      </c>
      <c r="F677" s="7" t="s">
        <v>6</v>
      </c>
      <c r="G677" s="8" t="s">
        <v>5</v>
      </c>
    </row>
    <row r="678" spans="1:7" x14ac:dyDescent="0.2">
      <c r="A678" s="12">
        <v>44621</v>
      </c>
      <c r="C678" s="2" t="s">
        <v>474</v>
      </c>
      <c r="D678" s="1" t="s">
        <v>9</v>
      </c>
      <c r="F678" s="3">
        <v>2553462</v>
      </c>
      <c r="G678" s="9">
        <f>G675+E678-F678</f>
        <v>-5539976</v>
      </c>
    </row>
    <row r="679" spans="1:7" x14ac:dyDescent="0.2">
      <c r="A679" s="12">
        <v>44621</v>
      </c>
      <c r="C679" s="2" t="s">
        <v>34</v>
      </c>
      <c r="D679" s="1" t="s">
        <v>9</v>
      </c>
      <c r="F679" s="3">
        <v>1238</v>
      </c>
      <c r="G679" s="9">
        <f t="shared" si="13"/>
        <v>-5541214</v>
      </c>
    </row>
    <row r="680" spans="1:7" x14ac:dyDescent="0.2">
      <c r="A680" s="12">
        <v>44622</v>
      </c>
      <c r="C680" s="2" t="s">
        <v>296</v>
      </c>
      <c r="D680" s="1" t="s">
        <v>9</v>
      </c>
      <c r="E680" s="3">
        <v>900000</v>
      </c>
      <c r="G680" s="9">
        <f t="shared" si="13"/>
        <v>-4641214</v>
      </c>
    </row>
    <row r="681" spans="1:7" x14ac:dyDescent="0.2">
      <c r="A681" s="12">
        <v>44622</v>
      </c>
      <c r="C681" s="2" t="s">
        <v>477</v>
      </c>
      <c r="D681" s="1" t="s">
        <v>9</v>
      </c>
      <c r="E681" s="3">
        <f>36913+37162+40403+124331+62304+405070</f>
        <v>706183</v>
      </c>
      <c r="G681" s="9">
        <f t="shared" si="13"/>
        <v>-3935031</v>
      </c>
    </row>
    <row r="682" spans="1:7" x14ac:dyDescent="0.2">
      <c r="A682" s="12">
        <v>44622</v>
      </c>
      <c r="C682" s="2" t="s">
        <v>53</v>
      </c>
      <c r="D682" s="1" t="s">
        <v>9</v>
      </c>
      <c r="F682" s="3">
        <v>100</v>
      </c>
      <c r="G682" s="9">
        <f t="shared" si="13"/>
        <v>-3935131</v>
      </c>
    </row>
    <row r="683" spans="1:7" x14ac:dyDescent="0.2">
      <c r="A683" s="12">
        <v>44622</v>
      </c>
      <c r="C683" s="2" t="s">
        <v>21</v>
      </c>
      <c r="D683" s="1" t="s">
        <v>9</v>
      </c>
      <c r="E683" s="3">
        <v>108324</v>
      </c>
      <c r="G683" s="9">
        <f t="shared" si="13"/>
        <v>-3826807</v>
      </c>
    </row>
    <row r="684" spans="1:7" x14ac:dyDescent="0.2">
      <c r="A684" s="12">
        <v>44622</v>
      </c>
      <c r="C684" s="2" t="s">
        <v>61</v>
      </c>
      <c r="D684" s="1" t="s">
        <v>9</v>
      </c>
      <c r="E684" s="3">
        <v>110625</v>
      </c>
      <c r="G684" s="9">
        <f t="shared" si="13"/>
        <v>-3716182</v>
      </c>
    </row>
    <row r="685" spans="1:7" x14ac:dyDescent="0.2">
      <c r="A685" s="12">
        <v>44623</v>
      </c>
      <c r="C685" s="2" t="s">
        <v>472</v>
      </c>
      <c r="D685" s="1" t="s">
        <v>9</v>
      </c>
      <c r="F685" s="3">
        <f>1747535+59809</f>
        <v>1807344</v>
      </c>
      <c r="G685" s="9">
        <f t="shared" si="13"/>
        <v>-5523526</v>
      </c>
    </row>
    <row r="686" spans="1:7" x14ac:dyDescent="0.2">
      <c r="A686" s="12">
        <v>44623</v>
      </c>
      <c r="C686" s="2" t="s">
        <v>478</v>
      </c>
      <c r="D686" s="1" t="s">
        <v>9</v>
      </c>
      <c r="F686" s="3">
        <f>1436856</f>
        <v>1436856</v>
      </c>
      <c r="G686" s="9">
        <f t="shared" si="13"/>
        <v>-6960382</v>
      </c>
    </row>
    <row r="687" spans="1:7" x14ac:dyDescent="0.2">
      <c r="A687" s="12">
        <v>44623</v>
      </c>
      <c r="C687" s="2" t="s">
        <v>479</v>
      </c>
      <c r="D687" s="1" t="s">
        <v>9</v>
      </c>
      <c r="F687" s="3">
        <f>6058452+144956</f>
        <v>6203408</v>
      </c>
      <c r="G687" s="9">
        <f t="shared" si="13"/>
        <v>-13163790</v>
      </c>
    </row>
    <row r="688" spans="1:7" x14ac:dyDescent="0.2">
      <c r="A688" s="12">
        <v>44624</v>
      </c>
      <c r="C688" s="2" t="s">
        <v>480</v>
      </c>
      <c r="D688" s="1" t="s">
        <v>9</v>
      </c>
      <c r="E688" s="3">
        <f>141624+97232+556016+34102</f>
        <v>828974</v>
      </c>
      <c r="G688" s="9">
        <f t="shared" si="13"/>
        <v>-12334816</v>
      </c>
    </row>
    <row r="689" spans="1:7" x14ac:dyDescent="0.2">
      <c r="A689" s="12">
        <v>44624</v>
      </c>
      <c r="C689" s="2" t="s">
        <v>84</v>
      </c>
      <c r="D689" s="1" t="s">
        <v>9</v>
      </c>
      <c r="F689" s="3">
        <v>185185</v>
      </c>
      <c r="G689" s="9">
        <f t="shared" si="13"/>
        <v>-12520001</v>
      </c>
    </row>
    <row r="690" spans="1:7" x14ac:dyDescent="0.2">
      <c r="A690" s="12">
        <v>44627</v>
      </c>
      <c r="C690" s="2" t="s">
        <v>116</v>
      </c>
      <c r="D690" s="1" t="s">
        <v>9</v>
      </c>
      <c r="E690" s="3">
        <v>118944</v>
      </c>
      <c r="G690" s="9">
        <f t="shared" si="13"/>
        <v>-12401057</v>
      </c>
    </row>
    <row r="691" spans="1:7" x14ac:dyDescent="0.2">
      <c r="A691" s="12">
        <v>44629</v>
      </c>
      <c r="C691" s="2" t="s">
        <v>76</v>
      </c>
      <c r="D691" s="1" t="s">
        <v>9</v>
      </c>
      <c r="E691" s="3">
        <v>54374</v>
      </c>
      <c r="G691" s="9">
        <f t="shared" si="13"/>
        <v>-12346683</v>
      </c>
    </row>
    <row r="692" spans="1:7" x14ac:dyDescent="0.2">
      <c r="A692" s="12">
        <v>44630</v>
      </c>
      <c r="B692" s="21" t="s">
        <v>481</v>
      </c>
      <c r="C692" s="22" t="s">
        <v>150</v>
      </c>
      <c r="D692" s="1" t="s">
        <v>9</v>
      </c>
      <c r="F692" s="3">
        <v>228000</v>
      </c>
      <c r="G692" s="9">
        <f t="shared" si="13"/>
        <v>-12574683</v>
      </c>
    </row>
    <row r="693" spans="1:7" x14ac:dyDescent="0.2">
      <c r="A693" s="12">
        <v>44630</v>
      </c>
      <c r="C693" s="2" t="s">
        <v>15</v>
      </c>
      <c r="D693" s="1" t="s">
        <v>9</v>
      </c>
      <c r="E693" s="3">
        <v>169066</v>
      </c>
      <c r="G693" s="9">
        <f t="shared" si="13"/>
        <v>-12405617</v>
      </c>
    </row>
    <row r="694" spans="1:7" x14ac:dyDescent="0.2">
      <c r="A694" s="12">
        <v>44630</v>
      </c>
      <c r="B694" s="21" t="s">
        <v>482</v>
      </c>
      <c r="C694" s="22" t="s">
        <v>154</v>
      </c>
      <c r="D694" s="1" t="s">
        <v>9</v>
      </c>
      <c r="F694" s="3">
        <v>446410</v>
      </c>
      <c r="G694" s="9">
        <f t="shared" si="13"/>
        <v>-12852027</v>
      </c>
    </row>
    <row r="695" spans="1:7" x14ac:dyDescent="0.2">
      <c r="A695" s="12">
        <v>44631</v>
      </c>
      <c r="C695" s="2" t="s">
        <v>483</v>
      </c>
      <c r="D695" s="1" t="s">
        <v>9</v>
      </c>
      <c r="F695" s="3">
        <f>935000</f>
        <v>935000</v>
      </c>
      <c r="G695" s="9">
        <f t="shared" si="13"/>
        <v>-13787027</v>
      </c>
    </row>
    <row r="696" spans="1:7" x14ac:dyDescent="0.2">
      <c r="A696" s="12">
        <v>44631</v>
      </c>
      <c r="C696" s="2" t="s">
        <v>484</v>
      </c>
      <c r="D696" s="1" t="s">
        <v>9</v>
      </c>
      <c r="F696" s="3">
        <f>765502+275</f>
        <v>765777</v>
      </c>
      <c r="G696" s="9">
        <f t="shared" si="13"/>
        <v>-14552804</v>
      </c>
    </row>
    <row r="697" spans="1:7" x14ac:dyDescent="0.2">
      <c r="A697" s="12">
        <v>44631</v>
      </c>
      <c r="C697" s="2" t="s">
        <v>485</v>
      </c>
      <c r="D697" s="1" t="s">
        <v>9</v>
      </c>
      <c r="F697" s="3">
        <f>216000+275</f>
        <v>216275</v>
      </c>
      <c r="G697" s="9">
        <f t="shared" si="13"/>
        <v>-14769079</v>
      </c>
    </row>
    <row r="698" spans="1:7" x14ac:dyDescent="0.2">
      <c r="A698" s="12">
        <v>44631</v>
      </c>
      <c r="C698" s="2" t="s">
        <v>486</v>
      </c>
      <c r="D698" s="1" t="s">
        <v>9</v>
      </c>
      <c r="F698" s="3">
        <f>2828793+275</f>
        <v>2829068</v>
      </c>
      <c r="G698" s="9">
        <f t="shared" si="13"/>
        <v>-17598147</v>
      </c>
    </row>
    <row r="699" spans="1:7" x14ac:dyDescent="0.2">
      <c r="A699" s="12">
        <v>44631</v>
      </c>
      <c r="C699" s="2" t="s">
        <v>402</v>
      </c>
      <c r="D699" s="1" t="s">
        <v>9</v>
      </c>
      <c r="F699" s="3">
        <f>492849</f>
        <v>492849</v>
      </c>
      <c r="G699" s="9">
        <f t="shared" si="13"/>
        <v>-18090996</v>
      </c>
    </row>
    <row r="700" spans="1:7" x14ac:dyDescent="0.2">
      <c r="A700" s="12">
        <v>44631</v>
      </c>
      <c r="C700" s="2" t="s">
        <v>487</v>
      </c>
      <c r="D700" s="1" t="s">
        <v>9</v>
      </c>
      <c r="F700" s="3">
        <f>189991+275</f>
        <v>190266</v>
      </c>
      <c r="G700" s="9">
        <f t="shared" si="13"/>
        <v>-18281262</v>
      </c>
    </row>
    <row r="701" spans="1:7" x14ac:dyDescent="0.2">
      <c r="A701" s="12">
        <v>44631</v>
      </c>
      <c r="C701" s="2" t="s">
        <v>488</v>
      </c>
      <c r="D701" s="1" t="s">
        <v>9</v>
      </c>
      <c r="F701" s="3">
        <f>432906+275</f>
        <v>433181</v>
      </c>
      <c r="G701" s="9">
        <f t="shared" si="13"/>
        <v>-18714443</v>
      </c>
    </row>
    <row r="702" spans="1:7" x14ac:dyDescent="0.2">
      <c r="A702" s="12">
        <v>44631</v>
      </c>
      <c r="C702" s="2" t="s">
        <v>489</v>
      </c>
      <c r="D702" s="1" t="s">
        <v>9</v>
      </c>
      <c r="E702" s="3">
        <f>1239977+112395</f>
        <v>1352372</v>
      </c>
      <c r="G702" s="9">
        <f t="shared" si="13"/>
        <v>-17362071</v>
      </c>
    </row>
    <row r="703" spans="1:7" x14ac:dyDescent="0.2">
      <c r="A703" s="12">
        <v>44631</v>
      </c>
      <c r="C703" s="2" t="s">
        <v>490</v>
      </c>
      <c r="D703" s="1" t="s">
        <v>9</v>
      </c>
      <c r="E703" s="3">
        <v>2000000</v>
      </c>
      <c r="G703" s="9">
        <f t="shared" si="13"/>
        <v>-15362071</v>
      </c>
    </row>
    <row r="704" spans="1:7" x14ac:dyDescent="0.2">
      <c r="A704" s="12">
        <v>44631</v>
      </c>
      <c r="C704" s="2" t="s">
        <v>53</v>
      </c>
      <c r="D704" s="1" t="s">
        <v>9</v>
      </c>
      <c r="F704" s="3">
        <v>100</v>
      </c>
      <c r="G704" s="9">
        <f t="shared" si="13"/>
        <v>-15362171</v>
      </c>
    </row>
    <row r="705" spans="1:9" s="28" customFormat="1" x14ac:dyDescent="0.2">
      <c r="A705" s="20">
        <v>44635</v>
      </c>
      <c r="B705" s="21"/>
      <c r="C705" s="22" t="s">
        <v>501</v>
      </c>
      <c r="D705" s="21" t="s">
        <v>9</v>
      </c>
      <c r="E705" s="23"/>
      <c r="F705" s="23">
        <v>1460000</v>
      </c>
      <c r="G705" s="9">
        <f t="shared" si="13"/>
        <v>-16822171</v>
      </c>
      <c r="H705" s="27"/>
      <c r="I705" s="26"/>
    </row>
    <row r="706" spans="1:9" x14ac:dyDescent="0.2">
      <c r="A706" s="12">
        <v>44635</v>
      </c>
      <c r="C706" s="2" t="s">
        <v>20</v>
      </c>
      <c r="D706" s="1" t="s">
        <v>9</v>
      </c>
      <c r="F706" s="3">
        <v>3300</v>
      </c>
      <c r="G706" s="9">
        <f t="shared" si="13"/>
        <v>-16825471</v>
      </c>
    </row>
    <row r="707" spans="1:9" x14ac:dyDescent="0.2">
      <c r="A707" s="12">
        <v>44635</v>
      </c>
      <c r="B707" s="1" t="s">
        <v>503</v>
      </c>
      <c r="C707" s="2" t="s">
        <v>502</v>
      </c>
      <c r="D707" s="1" t="s">
        <v>9</v>
      </c>
      <c r="F707" s="3">
        <v>165000</v>
      </c>
      <c r="G707" s="9">
        <f t="shared" si="13"/>
        <v>-16990471</v>
      </c>
    </row>
    <row r="708" spans="1:9" x14ac:dyDescent="0.2">
      <c r="A708" s="12">
        <v>44635</v>
      </c>
      <c r="C708" s="2" t="s">
        <v>499</v>
      </c>
      <c r="D708" s="1" t="s">
        <v>9</v>
      </c>
      <c r="E708" s="3">
        <v>5000000</v>
      </c>
      <c r="G708" s="9">
        <f t="shared" si="13"/>
        <v>-11990471</v>
      </c>
    </row>
    <row r="709" spans="1:9" x14ac:dyDescent="0.2">
      <c r="A709" s="12">
        <v>44635</v>
      </c>
      <c r="C709" s="2" t="s">
        <v>498</v>
      </c>
      <c r="D709" s="1" t="s">
        <v>9</v>
      </c>
      <c r="E709" s="3">
        <v>714402</v>
      </c>
      <c r="G709" s="9">
        <f t="shared" si="13"/>
        <v>-11276069</v>
      </c>
    </row>
    <row r="710" spans="1:9" x14ac:dyDescent="0.2">
      <c r="A710" s="12">
        <v>44636</v>
      </c>
      <c r="C710" s="2" t="s">
        <v>497</v>
      </c>
      <c r="D710" s="1" t="s">
        <v>9</v>
      </c>
      <c r="E710" s="3">
        <v>115475</v>
      </c>
      <c r="G710" s="9">
        <f t="shared" si="13"/>
        <v>-11160594</v>
      </c>
    </row>
    <row r="711" spans="1:9" x14ac:dyDescent="0.2">
      <c r="A711" s="12">
        <v>44637</v>
      </c>
      <c r="C711" s="2" t="s">
        <v>491</v>
      </c>
      <c r="D711" s="1" t="s">
        <v>9</v>
      </c>
      <c r="E711" s="3">
        <f>62437+141458+251954+129016+19187+872826</f>
        <v>1476878</v>
      </c>
      <c r="G711" s="9">
        <f t="shared" si="13"/>
        <v>-9683716</v>
      </c>
    </row>
    <row r="712" spans="1:9" x14ac:dyDescent="0.2">
      <c r="A712" s="12">
        <v>44638</v>
      </c>
      <c r="C712" s="2" t="s">
        <v>492</v>
      </c>
      <c r="D712" s="1" t="s">
        <v>9</v>
      </c>
      <c r="E712" s="3">
        <f>126449+156492+420376+497960</f>
        <v>1201277</v>
      </c>
      <c r="G712" s="9">
        <f t="shared" ref="G712:G774" si="14">G711+E712-F712</f>
        <v>-8482439</v>
      </c>
    </row>
    <row r="713" spans="1:9" x14ac:dyDescent="0.2">
      <c r="A713" s="12">
        <v>44641</v>
      </c>
      <c r="C713" s="2" t="s">
        <v>496</v>
      </c>
      <c r="D713" s="1" t="s">
        <v>9</v>
      </c>
      <c r="E713" s="3">
        <v>6528332</v>
      </c>
      <c r="G713" s="9">
        <f t="shared" si="14"/>
        <v>-1954107</v>
      </c>
    </row>
    <row r="714" spans="1:9" x14ac:dyDescent="0.2">
      <c r="A714" s="12">
        <v>44641</v>
      </c>
      <c r="C714" s="2" t="s">
        <v>168</v>
      </c>
      <c r="D714" s="1" t="s">
        <v>9</v>
      </c>
      <c r="E714" s="3">
        <v>1138358</v>
      </c>
      <c r="G714" s="9">
        <f t="shared" si="14"/>
        <v>-815749</v>
      </c>
    </row>
    <row r="715" spans="1:9" x14ac:dyDescent="0.2">
      <c r="A715" s="12">
        <v>44641</v>
      </c>
      <c r="C715" s="2" t="s">
        <v>76</v>
      </c>
      <c r="D715" s="1" t="s">
        <v>9</v>
      </c>
      <c r="E715" s="3">
        <v>59000</v>
      </c>
      <c r="G715" s="9">
        <f t="shared" si="14"/>
        <v>-756749</v>
      </c>
    </row>
    <row r="716" spans="1:9" x14ac:dyDescent="0.2">
      <c r="A716" s="12">
        <v>44641</v>
      </c>
      <c r="C716" s="2" t="s">
        <v>61</v>
      </c>
      <c r="D716" s="1" t="s">
        <v>9</v>
      </c>
      <c r="E716" s="3">
        <v>1515026</v>
      </c>
      <c r="G716" s="9">
        <f t="shared" si="14"/>
        <v>758277</v>
      </c>
    </row>
    <row r="717" spans="1:9" x14ac:dyDescent="0.2">
      <c r="A717" s="12">
        <v>44641</v>
      </c>
      <c r="C717" s="2" t="s">
        <v>495</v>
      </c>
      <c r="D717" s="1" t="s">
        <v>9</v>
      </c>
      <c r="E717" s="3">
        <v>336300</v>
      </c>
      <c r="G717" s="9">
        <f t="shared" si="14"/>
        <v>1094577</v>
      </c>
    </row>
    <row r="718" spans="1:9" x14ac:dyDescent="0.2">
      <c r="A718" s="12">
        <v>44642</v>
      </c>
      <c r="C718" s="2" t="s">
        <v>493</v>
      </c>
      <c r="D718" s="1" t="s">
        <v>9</v>
      </c>
      <c r="E718" s="3">
        <f>506014+124874+277448+127612+348873+280840+2686624</f>
        <v>4352285</v>
      </c>
      <c r="G718" s="9">
        <f t="shared" si="14"/>
        <v>5446862</v>
      </c>
    </row>
    <row r="719" spans="1:9" x14ac:dyDescent="0.2">
      <c r="A719" s="12">
        <v>44643</v>
      </c>
      <c r="C719" s="2" t="s">
        <v>494</v>
      </c>
      <c r="D719" s="1" t="s">
        <v>9</v>
      </c>
      <c r="F719" s="3">
        <f>946091</f>
        <v>946091</v>
      </c>
      <c r="G719" s="9">
        <f t="shared" si="14"/>
        <v>4500771</v>
      </c>
    </row>
    <row r="720" spans="1:9" x14ac:dyDescent="0.2">
      <c r="A720" s="12">
        <v>44643</v>
      </c>
      <c r="B720" s="21" t="s">
        <v>500</v>
      </c>
      <c r="C720" s="22" t="s">
        <v>150</v>
      </c>
      <c r="D720" s="1" t="s">
        <v>9</v>
      </c>
      <c r="F720" s="3">
        <v>114000</v>
      </c>
      <c r="G720" s="9">
        <f t="shared" si="14"/>
        <v>4386771</v>
      </c>
    </row>
    <row r="721" spans="1:7" x14ac:dyDescent="0.2">
      <c r="A721" s="12">
        <v>44643</v>
      </c>
      <c r="C721" s="2" t="s">
        <v>21</v>
      </c>
      <c r="D721" s="1" t="s">
        <v>9</v>
      </c>
      <c r="E721" s="3">
        <v>63189</v>
      </c>
      <c r="G721" s="9">
        <f t="shared" si="14"/>
        <v>4449960</v>
      </c>
    </row>
    <row r="722" spans="1:7" x14ac:dyDescent="0.2">
      <c r="A722" s="12">
        <v>44644</v>
      </c>
      <c r="C722" s="2" t="s">
        <v>504</v>
      </c>
      <c r="D722" s="1" t="s">
        <v>9</v>
      </c>
      <c r="E722" s="3">
        <f>756719+250473+27942+74473</f>
        <v>1109607</v>
      </c>
      <c r="G722" s="9">
        <f t="shared" si="14"/>
        <v>5559567</v>
      </c>
    </row>
    <row r="723" spans="1:7" x14ac:dyDescent="0.2">
      <c r="A723" s="12">
        <v>44645</v>
      </c>
      <c r="C723" s="2" t="s">
        <v>27</v>
      </c>
      <c r="D723" s="1" t="s">
        <v>9</v>
      </c>
      <c r="F723" s="3">
        <v>150000</v>
      </c>
      <c r="G723" s="9">
        <f t="shared" si="14"/>
        <v>5409567</v>
      </c>
    </row>
    <row r="724" spans="1:7" x14ac:dyDescent="0.2">
      <c r="A724" s="12">
        <v>44648</v>
      </c>
      <c r="C724" s="2" t="s">
        <v>35</v>
      </c>
      <c r="D724" s="1" t="s">
        <v>9</v>
      </c>
      <c r="F724" s="3">
        <v>6600</v>
      </c>
      <c r="G724" s="9">
        <f t="shared" si="14"/>
        <v>5402967</v>
      </c>
    </row>
    <row r="725" spans="1:7" x14ac:dyDescent="0.2">
      <c r="A725" s="12">
        <v>44648</v>
      </c>
      <c r="C725" s="2" t="s">
        <v>45</v>
      </c>
      <c r="D725" s="1" t="s">
        <v>9</v>
      </c>
      <c r="E725" s="3">
        <v>729901</v>
      </c>
      <c r="G725" s="9">
        <f t="shared" si="14"/>
        <v>6132868</v>
      </c>
    </row>
    <row r="726" spans="1:7" x14ac:dyDescent="0.2">
      <c r="A726" s="12">
        <v>44649</v>
      </c>
      <c r="C726" s="2" t="s">
        <v>506</v>
      </c>
      <c r="D726" s="1" t="s">
        <v>9</v>
      </c>
      <c r="E726" s="3">
        <v>3573820</v>
      </c>
      <c r="G726" s="9">
        <f t="shared" si="14"/>
        <v>9706688</v>
      </c>
    </row>
    <row r="727" spans="1:7" x14ac:dyDescent="0.2">
      <c r="A727" s="12">
        <v>44649</v>
      </c>
      <c r="C727" s="2" t="s">
        <v>505</v>
      </c>
      <c r="D727" s="1" t="s">
        <v>9</v>
      </c>
      <c r="E727" s="3">
        <v>481313</v>
      </c>
      <c r="G727" s="9">
        <f t="shared" si="14"/>
        <v>10188001</v>
      </c>
    </row>
    <row r="728" spans="1:7" x14ac:dyDescent="0.2">
      <c r="A728" s="12">
        <v>44650</v>
      </c>
      <c r="C728" s="2" t="s">
        <v>507</v>
      </c>
      <c r="D728" s="1" t="s">
        <v>9</v>
      </c>
      <c r="E728" s="3">
        <f>14585+835905+205426</f>
        <v>1055916</v>
      </c>
      <c r="G728" s="9">
        <f t="shared" si="14"/>
        <v>11243917</v>
      </c>
    </row>
    <row r="729" spans="1:7" x14ac:dyDescent="0.2">
      <c r="A729" s="12">
        <v>44651</v>
      </c>
      <c r="C729" s="2" t="s">
        <v>511</v>
      </c>
      <c r="D729" s="1" t="s">
        <v>9</v>
      </c>
      <c r="F729" s="3">
        <v>651274</v>
      </c>
      <c r="G729" s="9">
        <f t="shared" si="14"/>
        <v>10592643</v>
      </c>
    </row>
    <row r="730" spans="1:7" x14ac:dyDescent="0.2">
      <c r="A730" s="12">
        <v>44651</v>
      </c>
      <c r="C730" s="2" t="s">
        <v>508</v>
      </c>
      <c r="D730" s="1" t="s">
        <v>9</v>
      </c>
      <c r="F730" s="3">
        <v>134248</v>
      </c>
      <c r="G730" s="9">
        <f t="shared" si="14"/>
        <v>10458395</v>
      </c>
    </row>
    <row r="731" spans="1:7" x14ac:dyDescent="0.2">
      <c r="A731" s="12">
        <v>44651</v>
      </c>
      <c r="C731" s="2" t="s">
        <v>165</v>
      </c>
      <c r="D731" s="1" t="s">
        <v>9</v>
      </c>
      <c r="E731" s="3">
        <v>115376</v>
      </c>
      <c r="G731" s="9">
        <f t="shared" si="14"/>
        <v>10573771</v>
      </c>
    </row>
    <row r="732" spans="1:7" ht="15.75" x14ac:dyDescent="0.25">
      <c r="A732" s="10" t="s">
        <v>510</v>
      </c>
      <c r="G732" s="9"/>
    </row>
    <row r="733" spans="1:7" x14ac:dyDescent="0.2">
      <c r="A733" s="11" t="s">
        <v>2</v>
      </c>
      <c r="B733" s="5" t="s">
        <v>1</v>
      </c>
      <c r="C733" s="5" t="s">
        <v>3</v>
      </c>
      <c r="D733" s="5"/>
      <c r="E733" s="7" t="s">
        <v>4</v>
      </c>
      <c r="F733" s="7" t="s">
        <v>6</v>
      </c>
      <c r="G733" s="8" t="s">
        <v>5</v>
      </c>
    </row>
    <row r="734" spans="1:7" x14ac:dyDescent="0.2">
      <c r="A734" s="12">
        <v>44652</v>
      </c>
      <c r="C734" s="2" t="s">
        <v>509</v>
      </c>
      <c r="D734" s="1" t="s">
        <v>9</v>
      </c>
      <c r="F734" s="3">
        <v>2674271</v>
      </c>
      <c r="G734" s="9">
        <f>G731+E734-F734</f>
        <v>7899500</v>
      </c>
    </row>
    <row r="735" spans="1:7" x14ac:dyDescent="0.2">
      <c r="A735" s="12">
        <v>44652</v>
      </c>
      <c r="C735" s="2" t="s">
        <v>34</v>
      </c>
      <c r="D735" s="1" t="s">
        <v>9</v>
      </c>
      <c r="F735" s="3">
        <v>1000</v>
      </c>
      <c r="G735" s="9">
        <f t="shared" si="14"/>
        <v>7898500</v>
      </c>
    </row>
    <row r="736" spans="1:7" x14ac:dyDescent="0.2">
      <c r="A736" s="12">
        <v>44655</v>
      </c>
      <c r="C736" s="2" t="s">
        <v>512</v>
      </c>
      <c r="D736" s="1" t="s">
        <v>9</v>
      </c>
      <c r="F736" s="3">
        <v>6600</v>
      </c>
      <c r="G736" s="9">
        <f t="shared" si="14"/>
        <v>7891900</v>
      </c>
    </row>
    <row r="737" spans="1:7" x14ac:dyDescent="0.2">
      <c r="A737" s="12">
        <v>44655</v>
      </c>
      <c r="C737" s="2" t="s">
        <v>84</v>
      </c>
      <c r="D737" s="1" t="s">
        <v>9</v>
      </c>
      <c r="F737" s="3">
        <v>185185</v>
      </c>
      <c r="G737" s="9">
        <f t="shared" si="14"/>
        <v>7706715</v>
      </c>
    </row>
    <row r="738" spans="1:7" x14ac:dyDescent="0.2">
      <c r="A738" s="20">
        <v>44656</v>
      </c>
      <c r="B738" s="21" t="s">
        <v>513</v>
      </c>
      <c r="C738" s="22" t="s">
        <v>522</v>
      </c>
      <c r="D738" s="21" t="s">
        <v>9</v>
      </c>
      <c r="E738" s="23"/>
      <c r="F738" s="23">
        <v>88093</v>
      </c>
      <c r="G738" s="9">
        <f t="shared" si="14"/>
        <v>7618622</v>
      </c>
    </row>
    <row r="739" spans="1:7" x14ac:dyDescent="0.2">
      <c r="A739" s="12">
        <v>44656</v>
      </c>
      <c r="C739" s="2" t="s">
        <v>21</v>
      </c>
      <c r="D739" s="1" t="s">
        <v>9</v>
      </c>
      <c r="E739" s="3">
        <v>277330</v>
      </c>
      <c r="G739" s="9">
        <f t="shared" si="14"/>
        <v>7895952</v>
      </c>
    </row>
    <row r="740" spans="1:7" x14ac:dyDescent="0.2">
      <c r="A740" s="12">
        <v>44656</v>
      </c>
      <c r="C740" s="2" t="s">
        <v>514</v>
      </c>
      <c r="D740" s="1" t="s">
        <v>9</v>
      </c>
      <c r="F740" s="3">
        <f>6507894+153836</f>
        <v>6661730</v>
      </c>
      <c r="G740" s="9">
        <f t="shared" si="14"/>
        <v>1234222</v>
      </c>
    </row>
    <row r="741" spans="1:7" x14ac:dyDescent="0.2">
      <c r="A741" s="12">
        <v>44656</v>
      </c>
      <c r="C741" s="2" t="s">
        <v>515</v>
      </c>
      <c r="D741" s="1" t="s">
        <v>9</v>
      </c>
      <c r="F741" s="3">
        <f>2265918+70054</f>
        <v>2335972</v>
      </c>
      <c r="G741" s="9">
        <f t="shared" si="14"/>
        <v>-1101750</v>
      </c>
    </row>
    <row r="742" spans="1:7" x14ac:dyDescent="0.2">
      <c r="A742" s="12">
        <v>44657</v>
      </c>
      <c r="C742" s="2" t="s">
        <v>440</v>
      </c>
      <c r="D742" s="1" t="s">
        <v>9</v>
      </c>
      <c r="E742" s="3">
        <v>155495</v>
      </c>
      <c r="G742" s="9">
        <f t="shared" si="14"/>
        <v>-946255</v>
      </c>
    </row>
    <row r="743" spans="1:7" x14ac:dyDescent="0.2">
      <c r="A743" s="12">
        <v>44658</v>
      </c>
      <c r="C743" s="2" t="s">
        <v>217</v>
      </c>
      <c r="D743" s="1" t="s">
        <v>9</v>
      </c>
      <c r="E743" s="3">
        <v>2556558</v>
      </c>
      <c r="G743" s="9">
        <f t="shared" si="14"/>
        <v>1610303</v>
      </c>
    </row>
    <row r="744" spans="1:7" x14ac:dyDescent="0.2">
      <c r="A744" s="12">
        <v>44658</v>
      </c>
      <c r="C744" s="2" t="s">
        <v>516</v>
      </c>
      <c r="D744" s="1" t="s">
        <v>9</v>
      </c>
      <c r="E744" s="3">
        <f>20650+14160+94949+97793+254378+135305+58374+300000</f>
        <v>975609</v>
      </c>
      <c r="G744" s="9">
        <f t="shared" si="14"/>
        <v>2585912</v>
      </c>
    </row>
    <row r="745" spans="1:7" x14ac:dyDescent="0.2">
      <c r="A745" s="12">
        <v>44662</v>
      </c>
      <c r="C745" s="2" t="s">
        <v>517</v>
      </c>
      <c r="D745" s="1" t="s">
        <v>9</v>
      </c>
      <c r="F745" s="3">
        <f>1772634+275</f>
        <v>1772909</v>
      </c>
      <c r="G745" s="9">
        <f t="shared" si="14"/>
        <v>813003</v>
      </c>
    </row>
    <row r="746" spans="1:7" x14ac:dyDescent="0.2">
      <c r="A746" s="12">
        <v>44662</v>
      </c>
      <c r="C746" s="2" t="s">
        <v>488</v>
      </c>
      <c r="D746" s="1" t="s">
        <v>9</v>
      </c>
      <c r="F746" s="3">
        <f>432906+275</f>
        <v>433181</v>
      </c>
      <c r="G746" s="9">
        <f t="shared" si="14"/>
        <v>379822</v>
      </c>
    </row>
    <row r="747" spans="1:7" x14ac:dyDescent="0.2">
      <c r="A747" s="12">
        <v>44662</v>
      </c>
      <c r="C747" s="2" t="s">
        <v>518</v>
      </c>
      <c r="D747" s="1" t="s">
        <v>9</v>
      </c>
      <c r="F747" s="3">
        <f>935000+275</f>
        <v>935275</v>
      </c>
      <c r="G747" s="9">
        <f t="shared" si="14"/>
        <v>-555453</v>
      </c>
    </row>
    <row r="748" spans="1:7" x14ac:dyDescent="0.2">
      <c r="A748" s="12">
        <v>44662</v>
      </c>
      <c r="C748" s="2" t="s">
        <v>519</v>
      </c>
      <c r="D748" s="1" t="s">
        <v>9</v>
      </c>
      <c r="F748" s="3">
        <f>24736</f>
        <v>24736</v>
      </c>
      <c r="G748" s="9">
        <f t="shared" si="14"/>
        <v>-580189</v>
      </c>
    </row>
    <row r="749" spans="1:7" x14ac:dyDescent="0.2">
      <c r="A749" s="12">
        <v>44662</v>
      </c>
      <c r="C749" s="2" t="s">
        <v>520</v>
      </c>
      <c r="D749" s="1" t="s">
        <v>9</v>
      </c>
      <c r="F749" s="3">
        <f>113486</f>
        <v>113486</v>
      </c>
      <c r="G749" s="9">
        <f t="shared" si="14"/>
        <v>-693675</v>
      </c>
    </row>
    <row r="750" spans="1:7" x14ac:dyDescent="0.2">
      <c r="A750" s="12">
        <v>44662</v>
      </c>
      <c r="C750" s="2" t="s">
        <v>137</v>
      </c>
      <c r="D750" s="1" t="s">
        <v>9</v>
      </c>
      <c r="E750" s="3">
        <v>730620</v>
      </c>
      <c r="G750" s="9">
        <f t="shared" si="14"/>
        <v>36945</v>
      </c>
    </row>
    <row r="751" spans="1:7" x14ac:dyDescent="0.2">
      <c r="A751" s="12">
        <v>44662</v>
      </c>
      <c r="C751" s="2" t="s">
        <v>521</v>
      </c>
      <c r="D751" s="1" t="s">
        <v>9</v>
      </c>
      <c r="F751" s="3">
        <f>590020</f>
        <v>590020</v>
      </c>
      <c r="G751" s="9">
        <f t="shared" si="14"/>
        <v>-553075</v>
      </c>
    </row>
    <row r="752" spans="1:7" x14ac:dyDescent="0.2">
      <c r="A752" s="12">
        <v>44663</v>
      </c>
      <c r="B752" s="21" t="s">
        <v>526</v>
      </c>
      <c r="C752" s="2" t="s">
        <v>430</v>
      </c>
      <c r="D752" s="1" t="s">
        <v>9</v>
      </c>
      <c r="F752" s="3">
        <v>1325833</v>
      </c>
      <c r="G752" s="9">
        <f t="shared" si="14"/>
        <v>-1878908</v>
      </c>
    </row>
    <row r="753" spans="1:7" x14ac:dyDescent="0.2">
      <c r="A753" s="12">
        <v>44663</v>
      </c>
      <c r="C753" s="2" t="s">
        <v>523</v>
      </c>
      <c r="D753" s="1" t="s">
        <v>9</v>
      </c>
      <c r="E753" s="3">
        <f>11033+58225+71815+105501+80836+318555+363307</f>
        <v>1009272</v>
      </c>
      <c r="G753" s="9">
        <f t="shared" si="14"/>
        <v>-869636</v>
      </c>
    </row>
    <row r="754" spans="1:7" x14ac:dyDescent="0.2">
      <c r="A754" s="12">
        <v>44663</v>
      </c>
      <c r="C754" s="2" t="s">
        <v>505</v>
      </c>
      <c r="D754" s="1" t="s">
        <v>9</v>
      </c>
      <c r="E754" s="3">
        <v>41438</v>
      </c>
      <c r="G754" s="9">
        <f t="shared" si="14"/>
        <v>-828198</v>
      </c>
    </row>
    <row r="755" spans="1:7" x14ac:dyDescent="0.2">
      <c r="A755" s="12">
        <v>44663</v>
      </c>
      <c r="C755" s="2" t="s">
        <v>18</v>
      </c>
      <c r="D755" s="1" t="s">
        <v>9</v>
      </c>
      <c r="E755" s="3">
        <v>645576</v>
      </c>
      <c r="G755" s="9">
        <f t="shared" si="14"/>
        <v>-182622</v>
      </c>
    </row>
    <row r="756" spans="1:7" x14ac:dyDescent="0.2">
      <c r="A756" s="12">
        <v>44663</v>
      </c>
      <c r="C756" s="2" t="s">
        <v>351</v>
      </c>
      <c r="D756" s="1" t="s">
        <v>9</v>
      </c>
      <c r="E756" s="3">
        <v>140420</v>
      </c>
      <c r="G756" s="9">
        <f t="shared" si="14"/>
        <v>-42202</v>
      </c>
    </row>
    <row r="757" spans="1:7" x14ac:dyDescent="0.2">
      <c r="A757" s="12">
        <v>44664</v>
      </c>
      <c r="C757" s="2" t="s">
        <v>524</v>
      </c>
      <c r="D757" s="1" t="s">
        <v>9</v>
      </c>
      <c r="E757" s="3">
        <f>1232097+278082</f>
        <v>1510179</v>
      </c>
      <c r="G757" s="9">
        <f t="shared" si="14"/>
        <v>1467977</v>
      </c>
    </row>
    <row r="758" spans="1:7" x14ac:dyDescent="0.2">
      <c r="A758" s="12">
        <v>44664</v>
      </c>
      <c r="C758" s="2" t="s">
        <v>525</v>
      </c>
      <c r="D758" s="1" t="s">
        <v>9</v>
      </c>
      <c r="F758" s="3">
        <v>61035</v>
      </c>
      <c r="G758" s="9">
        <f t="shared" si="14"/>
        <v>1406942</v>
      </c>
    </row>
    <row r="759" spans="1:7" x14ac:dyDescent="0.2">
      <c r="A759" s="12">
        <v>44664</v>
      </c>
      <c r="C759" s="2" t="s">
        <v>525</v>
      </c>
      <c r="D759" s="1" t="s">
        <v>9</v>
      </c>
      <c r="F759" s="3">
        <v>962920</v>
      </c>
      <c r="G759" s="9">
        <f t="shared" si="14"/>
        <v>444022</v>
      </c>
    </row>
    <row r="760" spans="1:7" x14ac:dyDescent="0.2">
      <c r="A760" s="12">
        <v>44664</v>
      </c>
      <c r="C760" s="2" t="s">
        <v>525</v>
      </c>
      <c r="D760" s="1" t="s">
        <v>9</v>
      </c>
      <c r="F760" s="3">
        <v>2000000</v>
      </c>
      <c r="G760" s="9">
        <f t="shared" si="14"/>
        <v>-1555978</v>
      </c>
    </row>
    <row r="761" spans="1:7" x14ac:dyDescent="0.2">
      <c r="A761" s="12">
        <v>44666</v>
      </c>
      <c r="C761" s="2" t="s">
        <v>296</v>
      </c>
      <c r="D761" s="1" t="s">
        <v>9</v>
      </c>
      <c r="E761" s="3">
        <v>600000</v>
      </c>
      <c r="G761" s="9">
        <f t="shared" si="14"/>
        <v>-955978</v>
      </c>
    </row>
    <row r="762" spans="1:7" x14ac:dyDescent="0.2">
      <c r="A762" s="12">
        <v>44666</v>
      </c>
      <c r="C762" s="2" t="s">
        <v>55</v>
      </c>
      <c r="D762" s="1" t="s">
        <v>9</v>
      </c>
      <c r="E762" s="3">
        <v>769821</v>
      </c>
      <c r="G762" s="9">
        <f t="shared" si="14"/>
        <v>-186157</v>
      </c>
    </row>
    <row r="763" spans="1:7" x14ac:dyDescent="0.2">
      <c r="A763" s="12">
        <v>44666</v>
      </c>
      <c r="C763" s="2" t="s">
        <v>527</v>
      </c>
      <c r="D763" s="1" t="s">
        <v>9</v>
      </c>
      <c r="E763" s="3">
        <v>651274</v>
      </c>
      <c r="G763" s="9">
        <f t="shared" si="14"/>
        <v>465117</v>
      </c>
    </row>
    <row r="764" spans="1:7" x14ac:dyDescent="0.2">
      <c r="A764" s="12">
        <v>44666</v>
      </c>
      <c r="C764" s="2" t="s">
        <v>35</v>
      </c>
      <c r="D764" s="1" t="s">
        <v>9</v>
      </c>
      <c r="F764" s="3">
        <v>6600</v>
      </c>
      <c r="G764" s="9">
        <f t="shared" si="14"/>
        <v>458517</v>
      </c>
    </row>
    <row r="765" spans="1:7" x14ac:dyDescent="0.2">
      <c r="A765" s="12">
        <v>44666</v>
      </c>
      <c r="C765" s="2" t="s">
        <v>53</v>
      </c>
      <c r="D765" s="1" t="s">
        <v>9</v>
      </c>
      <c r="F765" s="3">
        <v>100</v>
      </c>
      <c r="G765" s="9">
        <f t="shared" si="14"/>
        <v>458417</v>
      </c>
    </row>
    <row r="766" spans="1:7" x14ac:dyDescent="0.2">
      <c r="A766" s="12">
        <v>44670</v>
      </c>
      <c r="C766" s="2" t="s">
        <v>528</v>
      </c>
      <c r="D766" s="1" t="s">
        <v>9</v>
      </c>
      <c r="F766" s="3">
        <v>3300</v>
      </c>
      <c r="G766" s="9">
        <f t="shared" si="14"/>
        <v>455117</v>
      </c>
    </row>
    <row r="767" spans="1:7" x14ac:dyDescent="0.2">
      <c r="A767" s="12">
        <v>44670</v>
      </c>
      <c r="C767" s="2" t="s">
        <v>528</v>
      </c>
      <c r="D767" s="1" t="s">
        <v>9</v>
      </c>
      <c r="F767" s="3">
        <v>3300</v>
      </c>
      <c r="G767" s="9">
        <f t="shared" si="14"/>
        <v>451817</v>
      </c>
    </row>
    <row r="768" spans="1:7" x14ac:dyDescent="0.2">
      <c r="A768" s="12">
        <v>44670</v>
      </c>
      <c r="C768" s="2" t="s">
        <v>505</v>
      </c>
      <c r="D768" s="1" t="s">
        <v>9</v>
      </c>
      <c r="E768" s="3">
        <v>248201</v>
      </c>
      <c r="G768" s="9">
        <f t="shared" si="14"/>
        <v>700018</v>
      </c>
    </row>
    <row r="769" spans="1:9" x14ac:dyDescent="0.2">
      <c r="A769" s="12">
        <v>44670</v>
      </c>
      <c r="C769" s="2" t="s">
        <v>61</v>
      </c>
      <c r="D769" s="1" t="s">
        <v>9</v>
      </c>
      <c r="E769" s="3">
        <v>637507</v>
      </c>
      <c r="G769" s="9">
        <f t="shared" si="14"/>
        <v>1337525</v>
      </c>
    </row>
    <row r="770" spans="1:9" x14ac:dyDescent="0.2">
      <c r="A770" s="12">
        <v>44670</v>
      </c>
      <c r="C770" s="2" t="s">
        <v>528</v>
      </c>
      <c r="D770" s="1" t="s">
        <v>9</v>
      </c>
      <c r="F770" s="3">
        <v>3300</v>
      </c>
      <c r="G770" s="9">
        <f t="shared" si="14"/>
        <v>1334225</v>
      </c>
    </row>
    <row r="771" spans="1:9" x14ac:dyDescent="0.2">
      <c r="A771" s="12">
        <v>44671</v>
      </c>
      <c r="C771" s="2" t="s">
        <v>35</v>
      </c>
      <c r="D771" s="1" t="s">
        <v>9</v>
      </c>
      <c r="F771" s="3">
        <v>6600</v>
      </c>
      <c r="G771" s="9">
        <f t="shared" si="14"/>
        <v>1327625</v>
      </c>
    </row>
    <row r="772" spans="1:9" x14ac:dyDescent="0.2">
      <c r="A772" s="12">
        <v>44672</v>
      </c>
      <c r="C772" s="2" t="s">
        <v>116</v>
      </c>
      <c r="D772" s="1" t="s">
        <v>9</v>
      </c>
      <c r="E772" s="3">
        <v>235528</v>
      </c>
      <c r="G772" s="9">
        <f t="shared" si="14"/>
        <v>1563153</v>
      </c>
    </row>
    <row r="773" spans="1:9" x14ac:dyDescent="0.2">
      <c r="A773" s="12">
        <v>44673</v>
      </c>
      <c r="C773" s="2" t="s">
        <v>529</v>
      </c>
      <c r="D773" s="1" t="s">
        <v>9</v>
      </c>
      <c r="F773" s="3">
        <f>236000</f>
        <v>236000</v>
      </c>
      <c r="G773" s="9">
        <f t="shared" si="14"/>
        <v>1327153</v>
      </c>
    </row>
    <row r="774" spans="1:9" x14ac:dyDescent="0.2">
      <c r="A774" s="20">
        <v>44673</v>
      </c>
      <c r="B774" s="21"/>
      <c r="C774" s="22" t="s">
        <v>530</v>
      </c>
      <c r="D774" s="21" t="s">
        <v>9</v>
      </c>
      <c r="E774" s="23">
        <f>43808+265205+418428+282145+196828</f>
        <v>1206414</v>
      </c>
      <c r="F774" s="23"/>
      <c r="G774" s="9">
        <f t="shared" si="14"/>
        <v>2533567</v>
      </c>
    </row>
    <row r="775" spans="1:9" x14ac:dyDescent="0.2">
      <c r="A775" s="12">
        <v>44676</v>
      </c>
      <c r="C775" s="2" t="s">
        <v>27</v>
      </c>
      <c r="D775" s="1" t="s">
        <v>9</v>
      </c>
      <c r="F775" s="3">
        <v>150000</v>
      </c>
      <c r="G775" s="9">
        <f t="shared" ref="G775:G846" si="15">G774+E775-F775</f>
        <v>2383567</v>
      </c>
    </row>
    <row r="776" spans="1:9" x14ac:dyDescent="0.2">
      <c r="A776" s="20">
        <v>44676</v>
      </c>
      <c r="B776" s="21"/>
      <c r="C776" s="22" t="s">
        <v>535</v>
      </c>
      <c r="D776" s="21" t="s">
        <v>9</v>
      </c>
      <c r="E776" s="23">
        <f>245322+296359+333685+1029338</f>
        <v>1904704</v>
      </c>
      <c r="F776" s="23"/>
      <c r="G776" s="9">
        <f t="shared" si="15"/>
        <v>4288271</v>
      </c>
      <c r="I776" s="29"/>
    </row>
    <row r="777" spans="1:9" x14ac:dyDescent="0.2">
      <c r="A777" s="12">
        <v>44678</v>
      </c>
      <c r="C777" s="2" t="s">
        <v>292</v>
      </c>
      <c r="D777" s="1" t="s">
        <v>9</v>
      </c>
      <c r="E777" s="3">
        <v>1728000</v>
      </c>
      <c r="G777" s="24">
        <f t="shared" si="15"/>
        <v>6016271</v>
      </c>
      <c r="I777" s="29"/>
    </row>
    <row r="778" spans="1:9" x14ac:dyDescent="0.2">
      <c r="A778" s="12">
        <v>44680</v>
      </c>
      <c r="C778" s="2" t="s">
        <v>536</v>
      </c>
      <c r="D778" s="1" t="s">
        <v>9</v>
      </c>
      <c r="F778" s="3">
        <v>2473031</v>
      </c>
      <c r="G778" s="9">
        <f t="shared" si="15"/>
        <v>3543240</v>
      </c>
    </row>
    <row r="779" spans="1:9" x14ac:dyDescent="0.2">
      <c r="A779" s="12">
        <v>44680</v>
      </c>
      <c r="C779" s="2" t="s">
        <v>34</v>
      </c>
      <c r="D779" s="1" t="s">
        <v>9</v>
      </c>
      <c r="F779" s="3">
        <v>1100</v>
      </c>
      <c r="G779" s="9">
        <f t="shared" si="15"/>
        <v>3542140</v>
      </c>
    </row>
    <row r="780" spans="1:9" x14ac:dyDescent="0.2">
      <c r="A780" s="12">
        <v>44680</v>
      </c>
      <c r="C780" s="2" t="s">
        <v>35</v>
      </c>
      <c r="D780" s="1" t="s">
        <v>9</v>
      </c>
      <c r="F780" s="3">
        <v>6600</v>
      </c>
      <c r="G780" s="9">
        <f t="shared" si="15"/>
        <v>3535540</v>
      </c>
    </row>
    <row r="781" spans="1:9" x14ac:dyDescent="0.2">
      <c r="A781" s="12">
        <v>44680</v>
      </c>
      <c r="C781" s="2" t="s">
        <v>538</v>
      </c>
      <c r="D781" s="1" t="s">
        <v>9</v>
      </c>
      <c r="F781" s="3">
        <v>45372</v>
      </c>
      <c r="G781" s="9">
        <f t="shared" si="15"/>
        <v>3490168</v>
      </c>
    </row>
    <row r="782" spans="1:9" ht="15.75" x14ac:dyDescent="0.25">
      <c r="A782" s="10" t="s">
        <v>539</v>
      </c>
      <c r="G782" s="9"/>
    </row>
    <row r="783" spans="1:9" x14ac:dyDescent="0.2">
      <c r="A783" s="11" t="s">
        <v>2</v>
      </c>
      <c r="B783" s="5" t="s">
        <v>1</v>
      </c>
      <c r="C783" s="5" t="s">
        <v>3</v>
      </c>
      <c r="D783" s="5"/>
      <c r="E783" s="7" t="s">
        <v>4</v>
      </c>
      <c r="F783" s="7" t="s">
        <v>6</v>
      </c>
      <c r="G783" s="8" t="s">
        <v>5</v>
      </c>
    </row>
    <row r="784" spans="1:9" x14ac:dyDescent="0.2">
      <c r="A784" s="12">
        <v>44686</v>
      </c>
      <c r="C784" s="2" t="s">
        <v>537</v>
      </c>
      <c r="D784" s="1" t="s">
        <v>9</v>
      </c>
      <c r="F784" s="3">
        <f>1988907</f>
        <v>1988907</v>
      </c>
      <c r="G784" s="9">
        <f>G781+E784-F784</f>
        <v>1501261</v>
      </c>
    </row>
    <row r="785" spans="1:7" x14ac:dyDescent="0.2">
      <c r="A785" s="20">
        <v>44686</v>
      </c>
      <c r="B785" s="21" t="s">
        <v>540</v>
      </c>
      <c r="C785" s="22" t="s">
        <v>549</v>
      </c>
      <c r="D785" s="21" t="s">
        <v>9</v>
      </c>
      <c r="E785" s="23"/>
      <c r="F785" s="23">
        <v>165000</v>
      </c>
      <c r="G785" s="9">
        <f>G784+E785-F785</f>
        <v>1336261</v>
      </c>
    </row>
    <row r="786" spans="1:7" x14ac:dyDescent="0.2">
      <c r="A786" s="12">
        <v>44686</v>
      </c>
      <c r="C786" s="2" t="s">
        <v>541</v>
      </c>
      <c r="D786" s="1" t="s">
        <v>9</v>
      </c>
      <c r="F786" s="3">
        <f>6093729+145650</f>
        <v>6239379</v>
      </c>
      <c r="G786" s="9">
        <f>G785+E786-F786</f>
        <v>-4903118</v>
      </c>
    </row>
    <row r="787" spans="1:7" x14ac:dyDescent="0.2">
      <c r="A787" s="12">
        <v>44686</v>
      </c>
      <c r="C787" s="2" t="s">
        <v>542</v>
      </c>
      <c r="D787" s="1" t="s">
        <v>9</v>
      </c>
      <c r="F787" s="3">
        <f>2798850+80580</f>
        <v>2879430</v>
      </c>
      <c r="G787" s="9">
        <f t="shared" ref="G787:G796" si="16">G786+E787-F787</f>
        <v>-7782548</v>
      </c>
    </row>
    <row r="788" spans="1:7" x14ac:dyDescent="0.2">
      <c r="A788" s="12">
        <v>44690</v>
      </c>
      <c r="C788" s="2" t="s">
        <v>137</v>
      </c>
      <c r="D788" s="1" t="s">
        <v>9</v>
      </c>
      <c r="E788" s="3">
        <v>183549</v>
      </c>
      <c r="G788" s="9">
        <f t="shared" si="16"/>
        <v>-7598999</v>
      </c>
    </row>
    <row r="789" spans="1:7" x14ac:dyDescent="0.2">
      <c r="A789" s="12">
        <v>44690</v>
      </c>
      <c r="C789" s="2" t="s">
        <v>18</v>
      </c>
      <c r="D789" s="1" t="s">
        <v>9</v>
      </c>
      <c r="E789" s="3">
        <v>290304</v>
      </c>
      <c r="G789" s="9">
        <f t="shared" si="16"/>
        <v>-7308695</v>
      </c>
    </row>
    <row r="790" spans="1:7" x14ac:dyDescent="0.2">
      <c r="A790" s="12">
        <v>44691</v>
      </c>
      <c r="C790" s="2" t="s">
        <v>531</v>
      </c>
      <c r="D790" s="1" t="s">
        <v>9</v>
      </c>
      <c r="F790" s="3">
        <f>1100000+275</f>
        <v>1100275</v>
      </c>
      <c r="G790" s="9">
        <f t="shared" si="16"/>
        <v>-8408970</v>
      </c>
    </row>
    <row r="791" spans="1:7" x14ac:dyDescent="0.2">
      <c r="A791" s="12">
        <v>44691</v>
      </c>
      <c r="C791" s="2" t="s">
        <v>532</v>
      </c>
      <c r="D791" s="1" t="s">
        <v>9</v>
      </c>
      <c r="F791" s="3">
        <f>401943</f>
        <v>401943</v>
      </c>
      <c r="G791" s="9">
        <f t="shared" si="16"/>
        <v>-8810913</v>
      </c>
    </row>
    <row r="792" spans="1:7" x14ac:dyDescent="0.2">
      <c r="A792" s="12">
        <v>44691</v>
      </c>
      <c r="C792" s="2" t="s">
        <v>533</v>
      </c>
      <c r="D792" s="1" t="s">
        <v>9</v>
      </c>
      <c r="F792" s="3">
        <f>639587+275</f>
        <v>639862</v>
      </c>
      <c r="G792" s="9">
        <f t="shared" si="16"/>
        <v>-9450775</v>
      </c>
    </row>
    <row r="793" spans="1:7" x14ac:dyDescent="0.2">
      <c r="A793" s="12">
        <v>44691</v>
      </c>
      <c r="C793" s="2" t="s">
        <v>365</v>
      </c>
      <c r="D793" s="1" t="s">
        <v>9</v>
      </c>
      <c r="F793" s="3">
        <f>432899+275</f>
        <v>433174</v>
      </c>
      <c r="G793" s="9">
        <f t="shared" si="16"/>
        <v>-9883949</v>
      </c>
    </row>
    <row r="794" spans="1:7" x14ac:dyDescent="0.2">
      <c r="A794" s="12">
        <v>44691</v>
      </c>
      <c r="C794" s="2" t="s">
        <v>534</v>
      </c>
      <c r="D794" s="1" t="s">
        <v>9</v>
      </c>
      <c r="F794" s="3">
        <f>1760027+275</f>
        <v>1760302</v>
      </c>
      <c r="G794" s="9">
        <f t="shared" si="16"/>
        <v>-11644251</v>
      </c>
    </row>
    <row r="795" spans="1:7" x14ac:dyDescent="0.2">
      <c r="A795" s="12">
        <v>44691</v>
      </c>
      <c r="C795" s="22" t="s">
        <v>909</v>
      </c>
      <c r="D795" s="1" t="s">
        <v>9</v>
      </c>
      <c r="E795" s="3">
        <f>153961+10030+68204+26550+70800+24308+600000</f>
        <v>953853</v>
      </c>
      <c r="G795" s="9">
        <f t="shared" si="16"/>
        <v>-10690398</v>
      </c>
    </row>
    <row r="796" spans="1:7" x14ac:dyDescent="0.2">
      <c r="A796" s="12">
        <v>44691</v>
      </c>
      <c r="C796" s="2" t="s">
        <v>543</v>
      </c>
      <c r="D796" s="1" t="s">
        <v>9</v>
      </c>
      <c r="E796" s="3">
        <v>244874</v>
      </c>
      <c r="G796" s="9">
        <f t="shared" si="16"/>
        <v>-10445524</v>
      </c>
    </row>
    <row r="797" spans="1:7" x14ac:dyDescent="0.2">
      <c r="A797" s="12">
        <v>44691</v>
      </c>
      <c r="C797" s="22" t="s">
        <v>544</v>
      </c>
      <c r="D797" s="1" t="s">
        <v>9</v>
      </c>
      <c r="E797" s="3">
        <f>71083+333674+891171</f>
        <v>1295928</v>
      </c>
      <c r="G797" s="9">
        <f t="shared" si="15"/>
        <v>-9149596</v>
      </c>
    </row>
    <row r="798" spans="1:7" x14ac:dyDescent="0.2">
      <c r="A798" s="12">
        <v>44692</v>
      </c>
      <c r="C798" s="22" t="s">
        <v>546</v>
      </c>
      <c r="D798" s="1" t="s">
        <v>9</v>
      </c>
      <c r="E798" s="3">
        <v>760776</v>
      </c>
      <c r="G798" s="9">
        <f t="shared" si="15"/>
        <v>-8388820</v>
      </c>
    </row>
    <row r="799" spans="1:7" x14ac:dyDescent="0.2">
      <c r="A799" s="12">
        <v>44692</v>
      </c>
      <c r="C799" s="22" t="s">
        <v>547</v>
      </c>
      <c r="D799" s="1" t="s">
        <v>9</v>
      </c>
      <c r="E799" s="3">
        <f>1150395+4248+24166+27376+280499</f>
        <v>1486684</v>
      </c>
      <c r="G799" s="9">
        <f t="shared" si="15"/>
        <v>-6902136</v>
      </c>
    </row>
    <row r="800" spans="1:7" x14ac:dyDescent="0.2">
      <c r="A800" s="12">
        <v>44692</v>
      </c>
      <c r="C800" s="2" t="s">
        <v>84</v>
      </c>
      <c r="D800" s="1" t="s">
        <v>9</v>
      </c>
      <c r="F800" s="3">
        <v>185185</v>
      </c>
      <c r="G800" s="9">
        <f t="shared" si="15"/>
        <v>-7087321</v>
      </c>
    </row>
    <row r="801" spans="1:9" x14ac:dyDescent="0.2">
      <c r="A801" s="12">
        <v>44693</v>
      </c>
      <c r="C801" s="2" t="s">
        <v>545</v>
      </c>
      <c r="D801" s="1" t="s">
        <v>9</v>
      </c>
      <c r="E801" s="3">
        <v>118400</v>
      </c>
      <c r="G801" s="9">
        <f t="shared" si="15"/>
        <v>-6968921</v>
      </c>
    </row>
    <row r="802" spans="1:9" x14ac:dyDescent="0.2">
      <c r="A802" s="12">
        <v>44693</v>
      </c>
      <c r="C802" s="2" t="s">
        <v>556</v>
      </c>
      <c r="D802" s="1" t="s">
        <v>9</v>
      </c>
      <c r="F802" s="3">
        <v>74750</v>
      </c>
      <c r="G802" s="9">
        <f t="shared" si="15"/>
        <v>-7043671</v>
      </c>
    </row>
    <row r="803" spans="1:9" x14ac:dyDescent="0.2">
      <c r="A803" s="12">
        <v>44694</v>
      </c>
      <c r="C803" s="22" t="s">
        <v>548</v>
      </c>
      <c r="D803" s="1" t="s">
        <v>9</v>
      </c>
      <c r="E803" s="3">
        <f>240473+30374+10355+143214+2489758+263848+3186861</f>
        <v>6364883</v>
      </c>
      <c r="G803" s="9">
        <f t="shared" si="15"/>
        <v>-678788</v>
      </c>
    </row>
    <row r="804" spans="1:9" x14ac:dyDescent="0.2">
      <c r="A804" s="20">
        <v>44694</v>
      </c>
      <c r="B804" s="21" t="s">
        <v>554</v>
      </c>
      <c r="C804" s="22" t="s">
        <v>154</v>
      </c>
      <c r="D804" s="21" t="s">
        <v>9</v>
      </c>
      <c r="E804" s="23"/>
      <c r="F804" s="23">
        <v>327540</v>
      </c>
      <c r="G804" s="9">
        <f t="shared" si="15"/>
        <v>-1006328</v>
      </c>
    </row>
    <row r="805" spans="1:9" x14ac:dyDescent="0.2">
      <c r="A805" s="12">
        <v>44694</v>
      </c>
      <c r="C805" s="2" t="s">
        <v>35</v>
      </c>
      <c r="D805" s="1" t="s">
        <v>9</v>
      </c>
      <c r="F805" s="3">
        <v>6600</v>
      </c>
      <c r="G805" s="9">
        <f t="shared" si="15"/>
        <v>-1012928</v>
      </c>
    </row>
    <row r="806" spans="1:9" x14ac:dyDescent="0.2">
      <c r="A806" s="12">
        <v>44694</v>
      </c>
      <c r="C806" s="2" t="s">
        <v>15</v>
      </c>
      <c r="D806" s="1" t="s">
        <v>9</v>
      </c>
      <c r="E806" s="3">
        <v>282345</v>
      </c>
      <c r="G806" s="9">
        <f t="shared" si="15"/>
        <v>-730583</v>
      </c>
    </row>
    <row r="807" spans="1:9" x14ac:dyDescent="0.2">
      <c r="A807" s="12">
        <v>44694</v>
      </c>
      <c r="C807" s="2" t="s">
        <v>555</v>
      </c>
      <c r="D807" s="1" t="s">
        <v>9</v>
      </c>
      <c r="E807" s="3">
        <v>1101936</v>
      </c>
      <c r="G807" s="9">
        <f t="shared" si="15"/>
        <v>371353</v>
      </c>
    </row>
    <row r="808" spans="1:9" x14ac:dyDescent="0.2">
      <c r="A808" s="20">
        <v>44697</v>
      </c>
      <c r="B808" s="21" t="s">
        <v>553</v>
      </c>
      <c r="C808" s="22" t="s">
        <v>557</v>
      </c>
      <c r="D808" s="21" t="s">
        <v>9</v>
      </c>
      <c r="E808" s="23"/>
      <c r="F808" s="23">
        <v>285000</v>
      </c>
      <c r="G808" s="9">
        <f t="shared" si="15"/>
        <v>86353</v>
      </c>
    </row>
    <row r="809" spans="1:9" x14ac:dyDescent="0.2">
      <c r="A809" s="12">
        <v>44697</v>
      </c>
      <c r="C809" s="2" t="s">
        <v>137</v>
      </c>
      <c r="D809" s="1" t="s">
        <v>9</v>
      </c>
      <c r="E809" s="3">
        <v>23671</v>
      </c>
      <c r="G809" s="9">
        <f t="shared" si="15"/>
        <v>110024</v>
      </c>
    </row>
    <row r="810" spans="1:9" x14ac:dyDescent="0.2">
      <c r="A810" s="12">
        <v>44697</v>
      </c>
      <c r="C810" s="2" t="s">
        <v>498</v>
      </c>
      <c r="D810" s="1" t="s">
        <v>9</v>
      </c>
      <c r="E810" s="3">
        <v>845529</v>
      </c>
      <c r="G810" s="9">
        <f t="shared" si="15"/>
        <v>955553</v>
      </c>
    </row>
    <row r="811" spans="1:9" x14ac:dyDescent="0.2">
      <c r="A811" s="12">
        <v>44697</v>
      </c>
      <c r="C811" s="2" t="s">
        <v>505</v>
      </c>
      <c r="D811" s="1" t="s">
        <v>9</v>
      </c>
      <c r="E811" s="3">
        <v>123501</v>
      </c>
      <c r="G811" s="9">
        <f t="shared" si="15"/>
        <v>1079054</v>
      </c>
    </row>
    <row r="812" spans="1:9" x14ac:dyDescent="0.2">
      <c r="A812" s="12">
        <v>44698</v>
      </c>
      <c r="C812" s="2" t="s">
        <v>35</v>
      </c>
      <c r="D812" s="1" t="s">
        <v>9</v>
      </c>
      <c r="F812" s="3">
        <v>6600</v>
      </c>
      <c r="G812" s="9">
        <f t="shared" si="15"/>
        <v>1072454</v>
      </c>
    </row>
    <row r="813" spans="1:9" x14ac:dyDescent="0.2">
      <c r="A813" s="12">
        <v>44698</v>
      </c>
      <c r="C813" s="2" t="s">
        <v>35</v>
      </c>
      <c r="D813" s="1" t="s">
        <v>9</v>
      </c>
      <c r="F813" s="3">
        <v>6600</v>
      </c>
      <c r="G813" s="9">
        <f t="shared" si="15"/>
        <v>1065854</v>
      </c>
    </row>
    <row r="814" spans="1:9" x14ac:dyDescent="0.2">
      <c r="A814" s="12">
        <v>44698</v>
      </c>
      <c r="C814" s="2" t="s">
        <v>61</v>
      </c>
      <c r="D814" s="1" t="s">
        <v>9</v>
      </c>
      <c r="E814" s="3">
        <v>2617830</v>
      </c>
      <c r="G814" s="9">
        <f t="shared" si="15"/>
        <v>3683684</v>
      </c>
      <c r="I814" s="29"/>
    </row>
    <row r="815" spans="1:9" x14ac:dyDescent="0.2">
      <c r="A815" s="12">
        <v>44699</v>
      </c>
      <c r="C815" s="22" t="s">
        <v>550</v>
      </c>
      <c r="D815" s="1" t="s">
        <v>9</v>
      </c>
      <c r="E815" s="3">
        <f>107262+1742935+35046+260780</f>
        <v>2146023</v>
      </c>
      <c r="G815" s="24">
        <f t="shared" si="15"/>
        <v>5829707</v>
      </c>
    </row>
    <row r="816" spans="1:9" x14ac:dyDescent="0.2">
      <c r="A816" s="12">
        <v>44701</v>
      </c>
      <c r="C816" s="22" t="s">
        <v>551</v>
      </c>
      <c r="D816" s="1" t="s">
        <v>9</v>
      </c>
      <c r="E816" s="3">
        <f>99852+549550+533986+48474+1367060+1721679</f>
        <v>4320601</v>
      </c>
      <c r="G816" s="9">
        <f t="shared" si="15"/>
        <v>10150308</v>
      </c>
    </row>
    <row r="817" spans="1:7" x14ac:dyDescent="0.2">
      <c r="A817" s="12">
        <v>44701</v>
      </c>
      <c r="C817" s="2" t="s">
        <v>116</v>
      </c>
      <c r="D817" s="1" t="s">
        <v>9</v>
      </c>
      <c r="E817" s="3">
        <v>1639445</v>
      </c>
      <c r="G817" s="9">
        <f t="shared" si="15"/>
        <v>11789753</v>
      </c>
    </row>
    <row r="818" spans="1:7" x14ac:dyDescent="0.2">
      <c r="A818" s="12">
        <v>44705</v>
      </c>
      <c r="C818" s="2" t="s">
        <v>552</v>
      </c>
      <c r="D818" s="1" t="s">
        <v>9</v>
      </c>
      <c r="F818" s="3">
        <f>2365569</f>
        <v>2365569</v>
      </c>
      <c r="G818" s="9">
        <f t="shared" si="15"/>
        <v>9424184</v>
      </c>
    </row>
    <row r="819" spans="1:7" x14ac:dyDescent="0.2">
      <c r="A819" s="20">
        <v>44706</v>
      </c>
      <c r="B819" s="21" t="s">
        <v>560</v>
      </c>
      <c r="C819" s="22" t="s">
        <v>562</v>
      </c>
      <c r="D819" s="21" t="s">
        <v>9</v>
      </c>
      <c r="E819" s="23"/>
      <c r="F819" s="23">
        <v>165000</v>
      </c>
      <c r="G819" s="9">
        <f t="shared" si="15"/>
        <v>9259184</v>
      </c>
    </row>
    <row r="820" spans="1:7" x14ac:dyDescent="0.2">
      <c r="A820" s="12">
        <v>44706</v>
      </c>
      <c r="C820" s="2" t="s">
        <v>27</v>
      </c>
      <c r="D820" s="1" t="s">
        <v>9</v>
      </c>
      <c r="F820" s="3">
        <v>150000</v>
      </c>
      <c r="G820" s="9">
        <f t="shared" si="15"/>
        <v>9109184</v>
      </c>
    </row>
    <row r="821" spans="1:7" x14ac:dyDescent="0.2">
      <c r="A821" s="12">
        <v>44708</v>
      </c>
      <c r="C821" s="22" t="s">
        <v>558</v>
      </c>
      <c r="D821" s="1" t="s">
        <v>9</v>
      </c>
      <c r="E821" s="3">
        <v>341728</v>
      </c>
      <c r="G821" s="9">
        <f t="shared" si="15"/>
        <v>9450912</v>
      </c>
    </row>
    <row r="822" spans="1:7" x14ac:dyDescent="0.2">
      <c r="A822" s="12">
        <v>44708</v>
      </c>
      <c r="C822" s="22" t="s">
        <v>559</v>
      </c>
      <c r="D822" s="1" t="s">
        <v>9</v>
      </c>
      <c r="E822" s="3">
        <f>70431+287625+116471+62939+257825+12744+322500</f>
        <v>1130535</v>
      </c>
      <c r="G822" s="9">
        <f t="shared" si="15"/>
        <v>10581447</v>
      </c>
    </row>
    <row r="823" spans="1:7" x14ac:dyDescent="0.2">
      <c r="A823" s="12">
        <v>44711</v>
      </c>
      <c r="C823" s="2" t="s">
        <v>561</v>
      </c>
      <c r="D823" s="1" t="s">
        <v>9</v>
      </c>
      <c r="F823" s="3">
        <v>3033839</v>
      </c>
      <c r="G823" s="9">
        <f t="shared" si="15"/>
        <v>7547608</v>
      </c>
    </row>
    <row r="824" spans="1:7" x14ac:dyDescent="0.2">
      <c r="A824" s="12">
        <v>44711</v>
      </c>
      <c r="C824" s="2" t="s">
        <v>34</v>
      </c>
      <c r="D824" s="1" t="s">
        <v>9</v>
      </c>
      <c r="F824" s="3">
        <v>1100</v>
      </c>
      <c r="G824" s="9">
        <f t="shared" si="15"/>
        <v>7546508</v>
      </c>
    </row>
    <row r="825" spans="1:7" x14ac:dyDescent="0.2">
      <c r="A825" s="12">
        <v>44711</v>
      </c>
      <c r="C825" s="2" t="s">
        <v>498</v>
      </c>
      <c r="D825" s="1" t="s">
        <v>9</v>
      </c>
      <c r="E825" s="3">
        <v>395182</v>
      </c>
      <c r="G825" s="9">
        <f t="shared" si="15"/>
        <v>7941690</v>
      </c>
    </row>
    <row r="826" spans="1:7" x14ac:dyDescent="0.2">
      <c r="A826" s="12">
        <v>44712</v>
      </c>
      <c r="C826" s="2" t="s">
        <v>563</v>
      </c>
      <c r="D826" s="1" t="s">
        <v>9</v>
      </c>
      <c r="F826" s="3">
        <v>73956</v>
      </c>
      <c r="G826" s="9">
        <f t="shared" si="15"/>
        <v>7867734</v>
      </c>
    </row>
    <row r="827" spans="1:7" ht="15.75" x14ac:dyDescent="0.25">
      <c r="A827" s="10" t="s">
        <v>573</v>
      </c>
      <c r="G827" s="9"/>
    </row>
    <row r="828" spans="1:7" x14ac:dyDescent="0.2">
      <c r="A828" s="11" t="s">
        <v>2</v>
      </c>
      <c r="B828" s="5" t="s">
        <v>1</v>
      </c>
      <c r="C828" s="5" t="s">
        <v>3</v>
      </c>
      <c r="D828" s="5"/>
      <c r="E828" s="7" t="s">
        <v>4</v>
      </c>
      <c r="F828" s="7" t="s">
        <v>6</v>
      </c>
      <c r="G828" s="8" t="s">
        <v>5</v>
      </c>
    </row>
    <row r="829" spans="1:7" x14ac:dyDescent="0.2">
      <c r="A829" s="12">
        <v>44713</v>
      </c>
      <c r="C829" s="2" t="s">
        <v>296</v>
      </c>
      <c r="D829" s="1" t="s">
        <v>9</v>
      </c>
      <c r="E829" s="3">
        <v>1000000</v>
      </c>
      <c r="G829" s="9">
        <f>G826+E829-F829</f>
        <v>8867734</v>
      </c>
    </row>
    <row r="830" spans="1:7" x14ac:dyDescent="0.2">
      <c r="A830" s="12">
        <v>44713</v>
      </c>
      <c r="C830" s="2" t="s">
        <v>84</v>
      </c>
      <c r="D830" s="1" t="s">
        <v>9</v>
      </c>
      <c r="F830" s="3">
        <v>185185</v>
      </c>
      <c r="G830" s="9">
        <f t="shared" si="15"/>
        <v>8682549</v>
      </c>
    </row>
    <row r="831" spans="1:7" x14ac:dyDescent="0.2">
      <c r="A831" s="12">
        <v>44713</v>
      </c>
      <c r="C831" s="2" t="s">
        <v>137</v>
      </c>
      <c r="D831" s="1" t="s">
        <v>9</v>
      </c>
      <c r="E831" s="3">
        <v>161660</v>
      </c>
      <c r="G831" s="9">
        <f t="shared" si="15"/>
        <v>8844209</v>
      </c>
    </row>
    <row r="832" spans="1:7" x14ac:dyDescent="0.2">
      <c r="A832" s="12">
        <v>44713</v>
      </c>
      <c r="C832" s="2" t="s">
        <v>53</v>
      </c>
      <c r="D832" s="1" t="s">
        <v>9</v>
      </c>
      <c r="F832" s="3">
        <v>100</v>
      </c>
      <c r="G832" s="9">
        <f t="shared" si="15"/>
        <v>8844109</v>
      </c>
    </row>
    <row r="833" spans="1:7" x14ac:dyDescent="0.2">
      <c r="A833" s="12">
        <v>44713</v>
      </c>
      <c r="C833" s="22" t="s">
        <v>123</v>
      </c>
      <c r="D833" s="1" t="s">
        <v>9</v>
      </c>
      <c r="E833" s="3">
        <v>500000</v>
      </c>
      <c r="G833" s="9">
        <f t="shared" si="15"/>
        <v>9344109</v>
      </c>
    </row>
    <row r="834" spans="1:7" x14ac:dyDescent="0.2">
      <c r="A834" s="12">
        <v>44713</v>
      </c>
      <c r="C834" s="22" t="s">
        <v>572</v>
      </c>
      <c r="D834" s="1" t="s">
        <v>9</v>
      </c>
      <c r="E834" s="3">
        <f>263229+1126534+6678375</f>
        <v>8068138</v>
      </c>
      <c r="G834" s="9">
        <f t="shared" si="15"/>
        <v>17412247</v>
      </c>
    </row>
    <row r="835" spans="1:7" x14ac:dyDescent="0.2">
      <c r="A835" s="12">
        <v>44714</v>
      </c>
      <c r="B835" s="1" t="s">
        <v>574</v>
      </c>
      <c r="C835" s="2" t="s">
        <v>575</v>
      </c>
      <c r="D835" s="1" t="s">
        <v>9</v>
      </c>
      <c r="F835" s="3">
        <v>230000</v>
      </c>
      <c r="G835" s="9">
        <f t="shared" si="15"/>
        <v>17182247</v>
      </c>
    </row>
    <row r="836" spans="1:7" x14ac:dyDescent="0.2">
      <c r="A836" s="12">
        <v>44715</v>
      </c>
      <c r="C836" s="2" t="s">
        <v>571</v>
      </c>
      <c r="D836" s="1" t="s">
        <v>9</v>
      </c>
      <c r="F836" s="3">
        <f>4280319</f>
        <v>4280319</v>
      </c>
      <c r="G836" s="9">
        <f t="shared" si="15"/>
        <v>12901928</v>
      </c>
    </row>
    <row r="837" spans="1:7" x14ac:dyDescent="0.2">
      <c r="A837" s="12">
        <v>44715</v>
      </c>
      <c r="C837" s="2" t="s">
        <v>137</v>
      </c>
      <c r="D837" s="1" t="s">
        <v>9</v>
      </c>
      <c r="E837" s="3">
        <v>116774</v>
      </c>
      <c r="G837" s="9">
        <f t="shared" si="15"/>
        <v>13018702</v>
      </c>
    </row>
    <row r="838" spans="1:7" x14ac:dyDescent="0.2">
      <c r="A838" s="12">
        <v>44719</v>
      </c>
      <c r="C838" s="2" t="s">
        <v>505</v>
      </c>
      <c r="D838" s="1" t="s">
        <v>9</v>
      </c>
      <c r="E838" s="3">
        <v>104890</v>
      </c>
      <c r="G838" s="9">
        <f t="shared" si="15"/>
        <v>13123592</v>
      </c>
    </row>
    <row r="839" spans="1:7" x14ac:dyDescent="0.2">
      <c r="A839" s="12">
        <v>44719</v>
      </c>
      <c r="C839" s="2" t="s">
        <v>351</v>
      </c>
      <c r="D839" s="1" t="s">
        <v>9</v>
      </c>
      <c r="E839" s="3">
        <v>61319</v>
      </c>
      <c r="G839" s="9">
        <f t="shared" si="15"/>
        <v>13184911</v>
      </c>
    </row>
    <row r="840" spans="1:7" x14ac:dyDescent="0.2">
      <c r="A840" s="12">
        <v>44720</v>
      </c>
      <c r="C840" s="2" t="s">
        <v>377</v>
      </c>
      <c r="D840" s="1" t="s">
        <v>9</v>
      </c>
      <c r="E840" s="3">
        <v>600000</v>
      </c>
      <c r="G840" s="9">
        <f t="shared" si="15"/>
        <v>13784911</v>
      </c>
    </row>
    <row r="841" spans="1:7" x14ac:dyDescent="0.2">
      <c r="A841" s="12">
        <v>44720</v>
      </c>
      <c r="C841" s="2" t="s">
        <v>53</v>
      </c>
      <c r="D841" s="1" t="s">
        <v>9</v>
      </c>
      <c r="F841" s="3">
        <v>100</v>
      </c>
      <c r="G841" s="9">
        <f t="shared" si="15"/>
        <v>13784811</v>
      </c>
    </row>
    <row r="842" spans="1:7" x14ac:dyDescent="0.2">
      <c r="A842" s="12">
        <v>44720</v>
      </c>
      <c r="C842" s="22" t="s">
        <v>576</v>
      </c>
      <c r="D842" s="1" t="s">
        <v>9</v>
      </c>
      <c r="E842" s="3">
        <f>145612+263500+97647+203904+88972</f>
        <v>799635</v>
      </c>
      <c r="G842" s="9">
        <f t="shared" si="15"/>
        <v>14584446</v>
      </c>
    </row>
    <row r="843" spans="1:7" x14ac:dyDescent="0.2">
      <c r="A843" s="12">
        <v>44722</v>
      </c>
      <c r="C843" s="2" t="s">
        <v>564</v>
      </c>
      <c r="D843" s="1" t="s">
        <v>9</v>
      </c>
      <c r="F843" s="3">
        <f>137464+275</f>
        <v>137739</v>
      </c>
      <c r="G843" s="9">
        <f t="shared" si="15"/>
        <v>14446707</v>
      </c>
    </row>
    <row r="844" spans="1:7" x14ac:dyDescent="0.2">
      <c r="A844" s="12">
        <v>44722</v>
      </c>
      <c r="C844" s="2" t="s">
        <v>565</v>
      </c>
      <c r="D844" s="1" t="s">
        <v>9</v>
      </c>
      <c r="F844" s="3">
        <f>236000</f>
        <v>236000</v>
      </c>
      <c r="G844" s="9">
        <f t="shared" si="15"/>
        <v>14210707</v>
      </c>
    </row>
    <row r="845" spans="1:7" x14ac:dyDescent="0.2">
      <c r="A845" s="12">
        <v>44722</v>
      </c>
      <c r="C845" s="2" t="s">
        <v>581</v>
      </c>
      <c r="D845" s="1" t="s">
        <v>9</v>
      </c>
      <c r="F845" s="3">
        <f>935000+275</f>
        <v>935275</v>
      </c>
      <c r="G845" s="9">
        <f t="shared" si="15"/>
        <v>13275432</v>
      </c>
    </row>
    <row r="846" spans="1:7" x14ac:dyDescent="0.2">
      <c r="A846" s="12">
        <v>44722</v>
      </c>
      <c r="C846" s="2" t="s">
        <v>566</v>
      </c>
      <c r="D846" s="1" t="s">
        <v>9</v>
      </c>
      <c r="F846" s="3">
        <f>589095+275</f>
        <v>589370</v>
      </c>
      <c r="G846" s="9">
        <f t="shared" si="15"/>
        <v>12686062</v>
      </c>
    </row>
    <row r="847" spans="1:7" x14ac:dyDescent="0.2">
      <c r="A847" s="12">
        <v>44722</v>
      </c>
      <c r="C847" s="2" t="s">
        <v>567</v>
      </c>
      <c r="D847" s="1" t="s">
        <v>9</v>
      </c>
      <c r="F847" s="3">
        <f>500000+275</f>
        <v>500275</v>
      </c>
      <c r="G847" s="9">
        <f t="shared" ref="G847:G923" si="17">G846+E847-F847</f>
        <v>12185787</v>
      </c>
    </row>
    <row r="848" spans="1:7" x14ac:dyDescent="0.2">
      <c r="A848" s="12">
        <v>44722</v>
      </c>
      <c r="C848" s="2" t="s">
        <v>568</v>
      </c>
      <c r="D848" s="1" t="s">
        <v>9</v>
      </c>
      <c r="F848" s="3">
        <f>385703</f>
        <v>385703</v>
      </c>
      <c r="G848" s="9">
        <f t="shared" si="17"/>
        <v>11800084</v>
      </c>
    </row>
    <row r="849" spans="1:7" x14ac:dyDescent="0.2">
      <c r="A849" s="12">
        <v>44722</v>
      </c>
      <c r="C849" s="2" t="s">
        <v>569</v>
      </c>
      <c r="D849" s="1" t="s">
        <v>9</v>
      </c>
      <c r="F849" s="3">
        <f>551635</f>
        <v>551635</v>
      </c>
      <c r="G849" s="9">
        <f t="shared" si="17"/>
        <v>11248449</v>
      </c>
    </row>
    <row r="850" spans="1:7" x14ac:dyDescent="0.2">
      <c r="A850" s="12">
        <v>44722</v>
      </c>
      <c r="C850" s="2" t="s">
        <v>570</v>
      </c>
      <c r="D850" s="1" t="s">
        <v>9</v>
      </c>
      <c r="F850" s="3">
        <f>167899+275</f>
        <v>168174</v>
      </c>
      <c r="G850" s="9">
        <f t="shared" si="17"/>
        <v>11080275</v>
      </c>
    </row>
    <row r="851" spans="1:7" x14ac:dyDescent="0.2">
      <c r="A851" s="12">
        <v>44722</v>
      </c>
      <c r="C851" s="22" t="s">
        <v>579</v>
      </c>
      <c r="D851" s="1" t="s">
        <v>9</v>
      </c>
      <c r="E851" s="3">
        <f>832188+193530+38350+362133+233571+34515+118041</f>
        <v>1812328</v>
      </c>
      <c r="G851" s="9">
        <f t="shared" si="17"/>
        <v>12892603</v>
      </c>
    </row>
    <row r="852" spans="1:7" x14ac:dyDescent="0.2">
      <c r="A852" s="12">
        <v>44722</v>
      </c>
      <c r="C852" s="2" t="s">
        <v>440</v>
      </c>
      <c r="D852" s="1" t="s">
        <v>9</v>
      </c>
      <c r="E852" s="3">
        <v>186293</v>
      </c>
      <c r="G852" s="9">
        <f t="shared" si="17"/>
        <v>13078896</v>
      </c>
    </row>
    <row r="853" spans="1:7" x14ac:dyDescent="0.2">
      <c r="A853" s="12">
        <v>44725</v>
      </c>
      <c r="C853" s="2" t="s">
        <v>578</v>
      </c>
      <c r="D853" s="1" t="s">
        <v>9</v>
      </c>
      <c r="F853" s="3">
        <f>5231962</f>
        <v>5231962</v>
      </c>
      <c r="G853" s="9">
        <f t="shared" si="17"/>
        <v>7846934</v>
      </c>
    </row>
    <row r="854" spans="1:7" x14ac:dyDescent="0.2">
      <c r="A854" s="20">
        <v>44725</v>
      </c>
      <c r="B854" s="21"/>
      <c r="C854" s="22" t="s">
        <v>587</v>
      </c>
      <c r="D854" s="21" t="s">
        <v>9</v>
      </c>
      <c r="E854" s="23"/>
      <c r="F854" s="23">
        <v>97647</v>
      </c>
      <c r="G854" s="9">
        <f t="shared" si="17"/>
        <v>7749287</v>
      </c>
    </row>
    <row r="855" spans="1:7" x14ac:dyDescent="0.2">
      <c r="A855" s="12">
        <v>44725</v>
      </c>
      <c r="C855" s="2" t="s">
        <v>588</v>
      </c>
      <c r="D855" s="1" t="s">
        <v>9</v>
      </c>
      <c r="F855" s="3">
        <v>6600</v>
      </c>
      <c r="G855" s="9">
        <f t="shared" si="17"/>
        <v>7742687</v>
      </c>
    </row>
    <row r="856" spans="1:7" x14ac:dyDescent="0.2">
      <c r="A856" s="12">
        <v>44726</v>
      </c>
      <c r="C856" s="2" t="s">
        <v>35</v>
      </c>
      <c r="D856" s="1" t="s">
        <v>9</v>
      </c>
      <c r="F856" s="3">
        <v>6600</v>
      </c>
      <c r="G856" s="9">
        <f t="shared" si="17"/>
        <v>7736087</v>
      </c>
    </row>
    <row r="857" spans="1:7" x14ac:dyDescent="0.2">
      <c r="A857" s="12">
        <v>44726</v>
      </c>
      <c r="C857" s="2" t="s">
        <v>586</v>
      </c>
      <c r="D857" s="1" t="s">
        <v>9</v>
      </c>
      <c r="F857" s="3">
        <v>1000000</v>
      </c>
      <c r="G857" s="9">
        <f t="shared" si="17"/>
        <v>6736087</v>
      </c>
    </row>
    <row r="858" spans="1:7" x14ac:dyDescent="0.2">
      <c r="A858" s="12">
        <v>44727</v>
      </c>
      <c r="C858" s="2" t="s">
        <v>377</v>
      </c>
      <c r="D858" s="1" t="s">
        <v>9</v>
      </c>
      <c r="E858" s="3">
        <v>1000000</v>
      </c>
      <c r="G858" s="9">
        <f t="shared" si="17"/>
        <v>7736087</v>
      </c>
    </row>
    <row r="859" spans="1:7" x14ac:dyDescent="0.2">
      <c r="A859" s="12">
        <v>44727</v>
      </c>
      <c r="C859" s="2" t="s">
        <v>528</v>
      </c>
      <c r="D859" s="1" t="s">
        <v>9</v>
      </c>
      <c r="F859" s="3">
        <v>3300</v>
      </c>
      <c r="G859" s="9">
        <f t="shared" si="17"/>
        <v>7732787</v>
      </c>
    </row>
    <row r="860" spans="1:7" x14ac:dyDescent="0.2">
      <c r="A860" s="12">
        <v>44727</v>
      </c>
      <c r="C860" s="2" t="s">
        <v>53</v>
      </c>
      <c r="D860" s="1" t="s">
        <v>9</v>
      </c>
      <c r="F860" s="3">
        <v>100</v>
      </c>
      <c r="G860" s="9">
        <f t="shared" si="17"/>
        <v>7732687</v>
      </c>
    </row>
    <row r="861" spans="1:7" x14ac:dyDescent="0.2">
      <c r="A861" s="12">
        <v>44727</v>
      </c>
      <c r="C861" s="2" t="s">
        <v>21</v>
      </c>
      <c r="D861" s="1" t="s">
        <v>9</v>
      </c>
      <c r="E861" s="3">
        <v>1417509</v>
      </c>
      <c r="G861" s="9">
        <f t="shared" si="17"/>
        <v>9150196</v>
      </c>
    </row>
    <row r="862" spans="1:7" x14ac:dyDescent="0.2">
      <c r="A862" s="12">
        <v>44727</v>
      </c>
      <c r="C862" s="22" t="s">
        <v>589</v>
      </c>
      <c r="D862" s="1" t="s">
        <v>9</v>
      </c>
      <c r="E862" s="3">
        <f>40000+203816+858450</f>
        <v>1102266</v>
      </c>
      <c r="G862" s="9">
        <f t="shared" si="17"/>
        <v>10252462</v>
      </c>
    </row>
    <row r="863" spans="1:7" x14ac:dyDescent="0.2">
      <c r="A863" s="12">
        <v>44732</v>
      </c>
      <c r="C863" s="2" t="s">
        <v>555</v>
      </c>
      <c r="D863" s="1" t="s">
        <v>9</v>
      </c>
      <c r="E863" s="3">
        <v>230772</v>
      </c>
      <c r="G863" s="9">
        <f t="shared" si="17"/>
        <v>10483234</v>
      </c>
    </row>
    <row r="864" spans="1:7" ht="12" customHeight="1" x14ac:dyDescent="0.2">
      <c r="A864" s="12">
        <v>44734</v>
      </c>
      <c r="B864" s="1" t="s">
        <v>580</v>
      </c>
      <c r="C864" s="22" t="s">
        <v>585</v>
      </c>
      <c r="D864" s="1" t="s">
        <v>9</v>
      </c>
      <c r="F864" s="3">
        <v>165000</v>
      </c>
      <c r="G864" s="9">
        <f t="shared" si="17"/>
        <v>10318234</v>
      </c>
    </row>
    <row r="865" spans="1:7" x14ac:dyDescent="0.2">
      <c r="A865" s="12">
        <v>44734</v>
      </c>
      <c r="B865" s="1" t="s">
        <v>582</v>
      </c>
      <c r="C865" s="2" t="s">
        <v>218</v>
      </c>
      <c r="D865" s="1" t="s">
        <v>9</v>
      </c>
      <c r="F865" s="3">
        <v>90000</v>
      </c>
      <c r="G865" s="9">
        <f t="shared" si="17"/>
        <v>10228234</v>
      </c>
    </row>
    <row r="866" spans="1:7" x14ac:dyDescent="0.2">
      <c r="A866" s="12">
        <v>44734</v>
      </c>
      <c r="B866" s="1" t="s">
        <v>583</v>
      </c>
      <c r="C866" s="2" t="s">
        <v>584</v>
      </c>
      <c r="D866" s="1" t="s">
        <v>9</v>
      </c>
      <c r="F866" s="3">
        <v>240000</v>
      </c>
      <c r="G866" s="9">
        <f t="shared" si="17"/>
        <v>9988234</v>
      </c>
    </row>
    <row r="867" spans="1:7" x14ac:dyDescent="0.2">
      <c r="A867" s="12">
        <v>44734</v>
      </c>
      <c r="C867" s="2" t="s">
        <v>590</v>
      </c>
      <c r="D867" s="1" t="s">
        <v>9</v>
      </c>
      <c r="E867" s="3">
        <f>24674+148445+43570+240101+77000+2000000+3613+107793</f>
        <v>2645196</v>
      </c>
      <c r="G867" s="9">
        <f t="shared" si="17"/>
        <v>12633430</v>
      </c>
    </row>
    <row r="868" spans="1:7" x14ac:dyDescent="0.2">
      <c r="A868" s="12">
        <v>44734</v>
      </c>
      <c r="C868" s="22" t="s">
        <v>591</v>
      </c>
      <c r="D868" s="1" t="s">
        <v>9</v>
      </c>
      <c r="E868" s="3">
        <f>202886+667561+123362+10031</f>
        <v>1003840</v>
      </c>
      <c r="G868" s="9">
        <f t="shared" si="17"/>
        <v>13637270</v>
      </c>
    </row>
    <row r="869" spans="1:7" x14ac:dyDescent="0.2">
      <c r="A869" s="12">
        <v>44736</v>
      </c>
      <c r="C869" s="2" t="s">
        <v>144</v>
      </c>
      <c r="D869" s="1" t="s">
        <v>9</v>
      </c>
      <c r="E869" s="3">
        <v>120360</v>
      </c>
      <c r="G869" s="9">
        <f t="shared" si="17"/>
        <v>13757630</v>
      </c>
    </row>
    <row r="870" spans="1:7" x14ac:dyDescent="0.2">
      <c r="A870" s="12">
        <v>44739</v>
      </c>
      <c r="C870" s="2" t="s">
        <v>27</v>
      </c>
      <c r="D870" s="1" t="s">
        <v>9</v>
      </c>
      <c r="F870" s="3">
        <v>150000</v>
      </c>
      <c r="G870" s="9">
        <f t="shared" si="17"/>
        <v>13607630</v>
      </c>
    </row>
    <row r="871" spans="1:7" x14ac:dyDescent="0.2">
      <c r="A871" s="12">
        <v>44739</v>
      </c>
      <c r="C871" s="22" t="s">
        <v>592</v>
      </c>
      <c r="D871" s="1" t="s">
        <v>9</v>
      </c>
      <c r="E871" s="3">
        <f>117351+20060+520047+43070+54091+500000+985200+605104</f>
        <v>2844923</v>
      </c>
      <c r="G871" s="9">
        <f t="shared" si="17"/>
        <v>16452553</v>
      </c>
    </row>
    <row r="872" spans="1:7" x14ac:dyDescent="0.2">
      <c r="A872" s="12">
        <v>44740</v>
      </c>
      <c r="C872" s="2" t="s">
        <v>35</v>
      </c>
      <c r="D872" s="1" t="s">
        <v>9</v>
      </c>
      <c r="F872" s="3">
        <v>6600</v>
      </c>
      <c r="G872" s="9">
        <f t="shared" si="17"/>
        <v>16445953</v>
      </c>
    </row>
    <row r="873" spans="1:7" x14ac:dyDescent="0.2">
      <c r="A873" s="12">
        <v>44741</v>
      </c>
      <c r="C873" s="2" t="s">
        <v>35</v>
      </c>
      <c r="D873" s="1" t="s">
        <v>9</v>
      </c>
      <c r="F873" s="3">
        <v>6600</v>
      </c>
      <c r="G873" s="9">
        <f t="shared" si="17"/>
        <v>16439353</v>
      </c>
    </row>
    <row r="874" spans="1:7" x14ac:dyDescent="0.2">
      <c r="A874" s="12">
        <v>44742</v>
      </c>
      <c r="C874" s="22" t="s">
        <v>593</v>
      </c>
      <c r="D874" s="1" t="s">
        <v>9</v>
      </c>
      <c r="E874" s="3">
        <f>284510+133812+25488+18160+152574+2433601+245100</f>
        <v>3293245</v>
      </c>
      <c r="G874" s="9">
        <f t="shared" si="17"/>
        <v>19732598</v>
      </c>
    </row>
    <row r="875" spans="1:7" x14ac:dyDescent="0.2">
      <c r="A875" s="12">
        <v>44742</v>
      </c>
      <c r="C875" s="2" t="s">
        <v>595</v>
      </c>
      <c r="D875" s="1" t="s">
        <v>9</v>
      </c>
      <c r="F875" s="3">
        <v>33968</v>
      </c>
      <c r="G875" s="9">
        <f t="shared" si="17"/>
        <v>19698630</v>
      </c>
    </row>
    <row r="876" spans="1:7" x14ac:dyDescent="0.2">
      <c r="A876" s="12">
        <v>44742</v>
      </c>
      <c r="C876" s="22" t="s">
        <v>577</v>
      </c>
      <c r="D876" s="1" t="s">
        <v>9</v>
      </c>
      <c r="F876" s="3">
        <f>6019599+144187</f>
        <v>6163786</v>
      </c>
      <c r="G876" s="9">
        <f t="shared" si="17"/>
        <v>13534844</v>
      </c>
    </row>
    <row r="877" spans="1:7" ht="15.75" x14ac:dyDescent="0.25">
      <c r="A877" s="10" t="s">
        <v>596</v>
      </c>
      <c r="G877" s="9"/>
    </row>
    <row r="878" spans="1:7" x14ac:dyDescent="0.2">
      <c r="A878" s="12">
        <v>44743</v>
      </c>
      <c r="C878" s="2" t="s">
        <v>594</v>
      </c>
      <c r="D878" s="1" t="s">
        <v>9</v>
      </c>
      <c r="F878" s="3">
        <v>2954749</v>
      </c>
      <c r="G878" s="9">
        <f>G876+E878-F878</f>
        <v>10580095</v>
      </c>
    </row>
    <row r="879" spans="1:7" x14ac:dyDescent="0.2">
      <c r="A879" s="12">
        <v>44743</v>
      </c>
      <c r="C879" s="2" t="s">
        <v>34</v>
      </c>
      <c r="D879" s="1" t="s">
        <v>9</v>
      </c>
      <c r="F879" s="3">
        <v>1100</v>
      </c>
      <c r="G879" s="9">
        <f t="shared" si="17"/>
        <v>10578995</v>
      </c>
    </row>
    <row r="880" spans="1:7" x14ac:dyDescent="0.2">
      <c r="A880" s="12">
        <v>44743</v>
      </c>
      <c r="C880" s="22" t="s">
        <v>597</v>
      </c>
      <c r="D880" s="1" t="s">
        <v>9</v>
      </c>
      <c r="E880" s="3">
        <f>136998+336105+295283+1441807+371046+21533</f>
        <v>2602772</v>
      </c>
      <c r="G880" s="9">
        <f t="shared" si="17"/>
        <v>13181767</v>
      </c>
    </row>
    <row r="881" spans="1:7" x14ac:dyDescent="0.2">
      <c r="A881" s="12">
        <v>44743</v>
      </c>
      <c r="C881" s="2" t="s">
        <v>137</v>
      </c>
      <c r="D881" s="1" t="s">
        <v>9</v>
      </c>
      <c r="E881" s="3">
        <v>65195</v>
      </c>
      <c r="G881" s="9">
        <f t="shared" si="17"/>
        <v>13246962</v>
      </c>
    </row>
    <row r="882" spans="1:7" x14ac:dyDescent="0.2">
      <c r="A882" s="12">
        <v>44747</v>
      </c>
      <c r="C882" s="2" t="s">
        <v>61</v>
      </c>
      <c r="D882" s="1" t="s">
        <v>9</v>
      </c>
      <c r="E882" s="3">
        <v>937003</v>
      </c>
      <c r="G882" s="9">
        <f t="shared" si="17"/>
        <v>14183965</v>
      </c>
    </row>
    <row r="883" spans="1:7" x14ac:dyDescent="0.2">
      <c r="A883" s="12">
        <v>44748</v>
      </c>
      <c r="C883" s="2" t="s">
        <v>598</v>
      </c>
      <c r="D883" s="1" t="s">
        <v>9</v>
      </c>
      <c r="F883" s="3">
        <f>4407130</f>
        <v>4407130</v>
      </c>
      <c r="G883" s="9">
        <f t="shared" si="17"/>
        <v>9776835</v>
      </c>
    </row>
    <row r="884" spans="1:7" x14ac:dyDescent="0.2">
      <c r="A884" s="12">
        <v>44748</v>
      </c>
      <c r="C884" s="2" t="s">
        <v>377</v>
      </c>
      <c r="D884" s="1" t="s">
        <v>9</v>
      </c>
      <c r="E884" s="3">
        <v>1000000</v>
      </c>
      <c r="G884" s="9">
        <f t="shared" si="17"/>
        <v>10776835</v>
      </c>
    </row>
    <row r="885" spans="1:7" x14ac:dyDescent="0.2">
      <c r="A885" s="12">
        <v>44748</v>
      </c>
      <c r="C885" s="2" t="s">
        <v>604</v>
      </c>
      <c r="D885" s="1" t="s">
        <v>9</v>
      </c>
      <c r="F885" s="3">
        <f>2851773+81624</f>
        <v>2933397</v>
      </c>
      <c r="G885" s="9">
        <f t="shared" si="17"/>
        <v>7843438</v>
      </c>
    </row>
    <row r="886" spans="1:7" x14ac:dyDescent="0.2">
      <c r="A886" s="12">
        <v>44748</v>
      </c>
      <c r="C886" s="2" t="s">
        <v>53</v>
      </c>
      <c r="D886" s="1" t="s">
        <v>9</v>
      </c>
      <c r="F886" s="3">
        <v>100</v>
      </c>
      <c r="G886" s="9">
        <f t="shared" si="17"/>
        <v>7843338</v>
      </c>
    </row>
    <row r="887" spans="1:7" x14ac:dyDescent="0.2">
      <c r="A887" s="12">
        <v>44748</v>
      </c>
      <c r="C887" s="22" t="s">
        <v>606</v>
      </c>
      <c r="D887" s="1" t="s">
        <v>9</v>
      </c>
      <c r="E887" s="3">
        <f>1372377+91681+199656</f>
        <v>1663714</v>
      </c>
      <c r="G887" s="9">
        <f t="shared" si="17"/>
        <v>9507052</v>
      </c>
    </row>
    <row r="888" spans="1:7" x14ac:dyDescent="0.2">
      <c r="A888" s="12">
        <v>44748</v>
      </c>
      <c r="C888" s="2" t="s">
        <v>605</v>
      </c>
      <c r="D888" s="1" t="s">
        <v>9</v>
      </c>
      <c r="F888" s="3">
        <f>4070823+105699</f>
        <v>4176522</v>
      </c>
      <c r="G888" s="9">
        <f t="shared" si="17"/>
        <v>5330530</v>
      </c>
    </row>
    <row r="889" spans="1:7" x14ac:dyDescent="0.2">
      <c r="A889" s="12">
        <v>44750</v>
      </c>
      <c r="C889" s="2" t="s">
        <v>607</v>
      </c>
      <c r="D889" s="1" t="s">
        <v>9</v>
      </c>
      <c r="E889" s="3">
        <v>744090</v>
      </c>
      <c r="G889" s="9">
        <f t="shared" si="17"/>
        <v>6074620</v>
      </c>
    </row>
    <row r="890" spans="1:7" x14ac:dyDescent="0.2">
      <c r="A890" s="12">
        <v>44754</v>
      </c>
      <c r="C890" s="2" t="s">
        <v>599</v>
      </c>
      <c r="D890" s="1" t="s">
        <v>9</v>
      </c>
      <c r="F890" s="3">
        <f>335000+275</f>
        <v>335275</v>
      </c>
      <c r="G890" s="9">
        <f t="shared" si="17"/>
        <v>5739345</v>
      </c>
    </row>
    <row r="891" spans="1:7" x14ac:dyDescent="0.2">
      <c r="A891" s="12">
        <v>44754</v>
      </c>
      <c r="C891" s="2" t="s">
        <v>600</v>
      </c>
      <c r="D891" s="1" t="s">
        <v>9</v>
      </c>
      <c r="F891" s="3">
        <f>593222+275</f>
        <v>593497</v>
      </c>
      <c r="G891" s="9">
        <f t="shared" si="17"/>
        <v>5145848</v>
      </c>
    </row>
    <row r="892" spans="1:7" x14ac:dyDescent="0.2">
      <c r="A892" s="12">
        <v>44754</v>
      </c>
      <c r="C892" s="2" t="s">
        <v>601</v>
      </c>
      <c r="D892" s="1" t="s">
        <v>9</v>
      </c>
      <c r="F892" s="3">
        <f>694789</f>
        <v>694789</v>
      </c>
      <c r="G892" s="9">
        <f t="shared" si="17"/>
        <v>4451059</v>
      </c>
    </row>
    <row r="893" spans="1:7" x14ac:dyDescent="0.2">
      <c r="A893" s="12">
        <v>44754</v>
      </c>
      <c r="C893" s="2" t="s">
        <v>602</v>
      </c>
      <c r="D893" s="1" t="s">
        <v>9</v>
      </c>
      <c r="F893" s="3">
        <f>58275+275</f>
        <v>58550</v>
      </c>
      <c r="G893" s="9">
        <f t="shared" si="17"/>
        <v>4392509</v>
      </c>
    </row>
    <row r="894" spans="1:7" x14ac:dyDescent="0.2">
      <c r="A894" s="12">
        <v>44754</v>
      </c>
      <c r="C894" s="2" t="s">
        <v>603</v>
      </c>
      <c r="D894" s="1" t="s">
        <v>9</v>
      </c>
      <c r="F894" s="3">
        <f>137464+275</f>
        <v>137739</v>
      </c>
      <c r="G894" s="9">
        <f t="shared" si="17"/>
        <v>4254770</v>
      </c>
    </row>
    <row r="895" spans="1:7" x14ac:dyDescent="0.2">
      <c r="A895" s="12">
        <v>44754</v>
      </c>
      <c r="C895" s="2" t="s">
        <v>608</v>
      </c>
      <c r="D895" s="1" t="s">
        <v>9</v>
      </c>
      <c r="F895" s="3">
        <f>1903699</f>
        <v>1903699</v>
      </c>
      <c r="G895" s="9">
        <f t="shared" si="17"/>
        <v>2351071</v>
      </c>
    </row>
    <row r="896" spans="1:7" x14ac:dyDescent="0.2">
      <c r="A896" s="12">
        <v>44754</v>
      </c>
      <c r="B896" s="1" t="s">
        <v>609</v>
      </c>
      <c r="C896" s="22" t="s">
        <v>654</v>
      </c>
      <c r="D896" s="1" t="s">
        <v>9</v>
      </c>
      <c r="F896" s="3">
        <v>165000</v>
      </c>
      <c r="G896" s="9">
        <f t="shared" si="17"/>
        <v>2186071</v>
      </c>
    </row>
    <row r="897" spans="1:7" x14ac:dyDescent="0.2">
      <c r="A897" s="12">
        <v>44754</v>
      </c>
      <c r="B897" s="1" t="s">
        <v>610</v>
      </c>
      <c r="C897" s="22" t="s">
        <v>154</v>
      </c>
      <c r="D897" s="1" t="s">
        <v>9</v>
      </c>
      <c r="F897" s="3">
        <v>289805</v>
      </c>
      <c r="G897" s="9">
        <f t="shared" si="17"/>
        <v>1896266</v>
      </c>
    </row>
    <row r="898" spans="1:7" x14ac:dyDescent="0.2">
      <c r="A898" s="12">
        <v>44754</v>
      </c>
      <c r="B898" s="1" t="s">
        <v>611</v>
      </c>
      <c r="C898" s="22" t="s">
        <v>557</v>
      </c>
      <c r="D898" s="1" t="s">
        <v>9</v>
      </c>
      <c r="F898" s="3">
        <v>228000</v>
      </c>
      <c r="G898" s="9">
        <f t="shared" si="17"/>
        <v>1668266</v>
      </c>
    </row>
    <row r="899" spans="1:7" x14ac:dyDescent="0.2">
      <c r="A899" s="12">
        <v>44755</v>
      </c>
      <c r="C899" s="2" t="s">
        <v>377</v>
      </c>
      <c r="D899" s="1" t="s">
        <v>9</v>
      </c>
      <c r="E899" s="3">
        <v>800000</v>
      </c>
      <c r="G899" s="9">
        <f t="shared" si="17"/>
        <v>2468266</v>
      </c>
    </row>
    <row r="900" spans="1:7" x14ac:dyDescent="0.2">
      <c r="A900" s="12">
        <v>44755</v>
      </c>
      <c r="C900" s="22" t="s">
        <v>613</v>
      </c>
      <c r="D900" s="1" t="s">
        <v>9</v>
      </c>
      <c r="E900" s="3">
        <f>254880+5768+251453+136408+84370+152434+440848</f>
        <v>1326161</v>
      </c>
      <c r="G900" s="9">
        <f t="shared" si="17"/>
        <v>3794427</v>
      </c>
    </row>
    <row r="901" spans="1:7" x14ac:dyDescent="0.2">
      <c r="A901" s="12">
        <v>44755</v>
      </c>
      <c r="C901" s="2" t="s">
        <v>53</v>
      </c>
      <c r="D901" s="1" t="s">
        <v>9</v>
      </c>
      <c r="F901" s="3">
        <v>100</v>
      </c>
      <c r="G901" s="9">
        <f t="shared" si="17"/>
        <v>3794327</v>
      </c>
    </row>
    <row r="902" spans="1:7" x14ac:dyDescent="0.2">
      <c r="A902" s="12">
        <v>44757</v>
      </c>
      <c r="C902" s="2" t="s">
        <v>612</v>
      </c>
      <c r="D902" s="1" t="s">
        <v>9</v>
      </c>
      <c r="F902" s="3">
        <f>6801792+3300</f>
        <v>6805092</v>
      </c>
      <c r="G902" s="9">
        <f t="shared" si="17"/>
        <v>-3010765</v>
      </c>
    </row>
    <row r="903" spans="1:7" x14ac:dyDescent="0.2">
      <c r="A903" s="12">
        <v>44757</v>
      </c>
      <c r="C903" s="2" t="s">
        <v>432</v>
      </c>
      <c r="D903" s="1" t="s">
        <v>9</v>
      </c>
      <c r="F903" s="3">
        <f>76662+3300</f>
        <v>79962</v>
      </c>
      <c r="G903" s="9">
        <f t="shared" si="17"/>
        <v>-3090727</v>
      </c>
    </row>
    <row r="904" spans="1:7" x14ac:dyDescent="0.2">
      <c r="A904" s="12">
        <v>44757</v>
      </c>
      <c r="B904" s="1" t="s">
        <v>626</v>
      </c>
      <c r="C904" s="2" t="s">
        <v>625</v>
      </c>
      <c r="D904" s="1" t="s">
        <v>9</v>
      </c>
      <c r="F904" s="3">
        <v>1535774</v>
      </c>
      <c r="G904" s="9">
        <f t="shared" si="17"/>
        <v>-4626501</v>
      </c>
    </row>
    <row r="905" spans="1:7" x14ac:dyDescent="0.2">
      <c r="A905" s="12">
        <v>44757</v>
      </c>
      <c r="C905" s="2" t="s">
        <v>377</v>
      </c>
      <c r="D905" s="1" t="s">
        <v>9</v>
      </c>
      <c r="E905" s="3">
        <v>900000</v>
      </c>
      <c r="G905" s="9">
        <f t="shared" si="17"/>
        <v>-3726501</v>
      </c>
    </row>
    <row r="906" spans="1:7" x14ac:dyDescent="0.2">
      <c r="A906" s="12">
        <v>44757</v>
      </c>
      <c r="C906" s="22" t="s">
        <v>614</v>
      </c>
      <c r="D906" s="1" t="s">
        <v>9</v>
      </c>
      <c r="E906" s="3">
        <f>325201+92172+381282</f>
        <v>798655</v>
      </c>
      <c r="G906" s="9">
        <f t="shared" si="17"/>
        <v>-2927846</v>
      </c>
    </row>
    <row r="907" spans="1:7" x14ac:dyDescent="0.2">
      <c r="A907" s="12">
        <v>44757</v>
      </c>
      <c r="C907" s="2" t="s">
        <v>35</v>
      </c>
      <c r="D907" s="1" t="s">
        <v>9</v>
      </c>
      <c r="F907" s="3">
        <v>6600</v>
      </c>
      <c r="G907" s="9">
        <f t="shared" si="17"/>
        <v>-2934446</v>
      </c>
    </row>
    <row r="908" spans="1:7" x14ac:dyDescent="0.2">
      <c r="A908" s="12">
        <v>44757</v>
      </c>
      <c r="C908" s="2" t="s">
        <v>53</v>
      </c>
      <c r="D908" s="1" t="s">
        <v>9</v>
      </c>
      <c r="F908" s="3">
        <v>100</v>
      </c>
      <c r="G908" s="9">
        <f t="shared" si="17"/>
        <v>-2934546</v>
      </c>
    </row>
    <row r="909" spans="1:7" x14ac:dyDescent="0.2">
      <c r="A909" s="12">
        <v>44760</v>
      </c>
      <c r="C909" s="2" t="s">
        <v>616</v>
      </c>
      <c r="D909" s="1" t="s">
        <v>9</v>
      </c>
      <c r="E909" s="3">
        <v>5400000</v>
      </c>
      <c r="G909" s="9">
        <f t="shared" si="17"/>
        <v>2465454</v>
      </c>
    </row>
    <row r="910" spans="1:7" x14ac:dyDescent="0.2">
      <c r="A910" s="12">
        <v>44760</v>
      </c>
      <c r="C910" s="2" t="s">
        <v>615</v>
      </c>
      <c r="D910" s="1" t="s">
        <v>9</v>
      </c>
      <c r="F910" s="3">
        <f>5184868+127702</f>
        <v>5312570</v>
      </c>
      <c r="G910" s="9">
        <f t="shared" si="17"/>
        <v>-2847116</v>
      </c>
    </row>
    <row r="911" spans="1:7" x14ac:dyDescent="0.2">
      <c r="A911" s="12">
        <v>44760</v>
      </c>
      <c r="C911" s="2" t="s">
        <v>53</v>
      </c>
      <c r="D911" s="1" t="s">
        <v>9</v>
      </c>
      <c r="F911" s="3">
        <v>100</v>
      </c>
      <c r="G911" s="9">
        <f t="shared" si="17"/>
        <v>-2847216</v>
      </c>
    </row>
    <row r="912" spans="1:7" x14ac:dyDescent="0.2">
      <c r="A912" s="12">
        <v>44761</v>
      </c>
      <c r="C912" s="2" t="s">
        <v>21</v>
      </c>
      <c r="D912" s="1" t="s">
        <v>9</v>
      </c>
      <c r="E912" s="3">
        <v>1100011</v>
      </c>
      <c r="G912" s="9">
        <f t="shared" si="17"/>
        <v>-1747205</v>
      </c>
    </row>
    <row r="913" spans="1:7" x14ac:dyDescent="0.2">
      <c r="A913" s="12">
        <v>44761</v>
      </c>
      <c r="C913" s="2" t="s">
        <v>555</v>
      </c>
      <c r="D913" s="1" t="s">
        <v>9</v>
      </c>
      <c r="E913" s="3">
        <v>30586</v>
      </c>
      <c r="G913" s="9">
        <f t="shared" si="17"/>
        <v>-1716619</v>
      </c>
    </row>
    <row r="914" spans="1:7" x14ac:dyDescent="0.2">
      <c r="A914" s="12">
        <v>44761</v>
      </c>
      <c r="C914" s="2" t="s">
        <v>616</v>
      </c>
      <c r="D914" s="1" t="s">
        <v>9</v>
      </c>
      <c r="E914" s="3">
        <v>1400000</v>
      </c>
      <c r="G914" s="9">
        <f t="shared" si="17"/>
        <v>-316619</v>
      </c>
    </row>
    <row r="915" spans="1:7" x14ac:dyDescent="0.2">
      <c r="A915" s="12">
        <v>44761</v>
      </c>
      <c r="C915" s="22" t="s">
        <v>618</v>
      </c>
      <c r="D915" s="1" t="s">
        <v>9</v>
      </c>
      <c r="E915" s="3">
        <f>97647+481883+35046+291478+500038+207120</f>
        <v>1613212</v>
      </c>
      <c r="G915" s="9">
        <f t="shared" si="17"/>
        <v>1296593</v>
      </c>
    </row>
    <row r="916" spans="1:7" x14ac:dyDescent="0.2">
      <c r="A916" s="12">
        <v>44762</v>
      </c>
      <c r="C916" s="22" t="s">
        <v>619</v>
      </c>
      <c r="D916" s="1" t="s">
        <v>9</v>
      </c>
      <c r="E916" s="3">
        <f>952145+248331</f>
        <v>1200476</v>
      </c>
      <c r="G916" s="9">
        <f t="shared" si="17"/>
        <v>2497069</v>
      </c>
    </row>
    <row r="917" spans="1:7" x14ac:dyDescent="0.2">
      <c r="A917" s="12">
        <v>44762</v>
      </c>
      <c r="C917" s="22" t="s">
        <v>123</v>
      </c>
      <c r="D917" s="1" t="s">
        <v>9</v>
      </c>
      <c r="E917" s="3">
        <v>500000</v>
      </c>
      <c r="G917" s="9">
        <f t="shared" si="17"/>
        <v>2997069</v>
      </c>
    </row>
    <row r="918" spans="1:7" x14ac:dyDescent="0.2">
      <c r="A918" s="12">
        <v>44762</v>
      </c>
      <c r="C918" s="2" t="s">
        <v>53</v>
      </c>
      <c r="D918" s="1" t="s">
        <v>9</v>
      </c>
      <c r="F918" s="3">
        <v>100</v>
      </c>
      <c r="G918" s="9">
        <f t="shared" si="17"/>
        <v>2996969</v>
      </c>
    </row>
    <row r="919" spans="1:7" x14ac:dyDescent="0.2">
      <c r="A919" s="12">
        <v>44763</v>
      </c>
      <c r="C919" s="2" t="s">
        <v>617</v>
      </c>
      <c r="D919" s="1" t="s">
        <v>9</v>
      </c>
      <c r="F919" s="3">
        <f>2772972</f>
        <v>2772972</v>
      </c>
      <c r="G919" s="9">
        <f t="shared" si="17"/>
        <v>223997</v>
      </c>
    </row>
    <row r="920" spans="1:7" x14ac:dyDescent="0.2">
      <c r="A920" s="12">
        <v>44763</v>
      </c>
      <c r="C920" s="2" t="s">
        <v>377</v>
      </c>
      <c r="D920" s="1" t="s">
        <v>9</v>
      </c>
      <c r="E920" s="3">
        <v>1500000</v>
      </c>
      <c r="G920" s="9">
        <f t="shared" si="17"/>
        <v>1723997</v>
      </c>
    </row>
    <row r="921" spans="1:7" x14ac:dyDescent="0.2">
      <c r="A921" s="12">
        <v>44763</v>
      </c>
      <c r="C921" s="2" t="s">
        <v>258</v>
      </c>
      <c r="D921" s="1" t="s">
        <v>9</v>
      </c>
      <c r="E921" s="3">
        <v>442000</v>
      </c>
      <c r="G921" s="9">
        <f t="shared" si="17"/>
        <v>2165997</v>
      </c>
    </row>
    <row r="922" spans="1:7" x14ac:dyDescent="0.2">
      <c r="A922" s="12">
        <v>44763</v>
      </c>
      <c r="C922" s="2" t="s">
        <v>53</v>
      </c>
      <c r="D922" s="1" t="s">
        <v>9</v>
      </c>
      <c r="F922" s="3">
        <v>100</v>
      </c>
      <c r="G922" s="9">
        <f t="shared" si="17"/>
        <v>2165897</v>
      </c>
    </row>
    <row r="923" spans="1:7" x14ac:dyDescent="0.2">
      <c r="A923" s="12">
        <v>44763</v>
      </c>
      <c r="C923" s="2" t="s">
        <v>144</v>
      </c>
      <c r="D923" s="1" t="s">
        <v>9</v>
      </c>
      <c r="E923" s="3">
        <v>132998</v>
      </c>
      <c r="G923" s="9">
        <f t="shared" si="17"/>
        <v>2298895</v>
      </c>
    </row>
    <row r="924" spans="1:7" x14ac:dyDescent="0.2">
      <c r="A924" s="12">
        <v>44764</v>
      </c>
      <c r="C924" s="22" t="s">
        <v>184</v>
      </c>
      <c r="D924" s="1" t="s">
        <v>9</v>
      </c>
      <c r="E924" s="3">
        <v>5666803</v>
      </c>
      <c r="G924" s="9">
        <f t="shared" ref="G924:G993" si="18">G923+E924-F924</f>
        <v>7965698</v>
      </c>
    </row>
    <row r="925" spans="1:7" x14ac:dyDescent="0.2">
      <c r="A925" s="12">
        <v>44764</v>
      </c>
      <c r="C925" s="22" t="s">
        <v>620</v>
      </c>
      <c r="D925" s="1" t="s">
        <v>9</v>
      </c>
      <c r="E925" s="3">
        <v>1329137</v>
      </c>
      <c r="G925" s="9">
        <f t="shared" si="18"/>
        <v>9294835</v>
      </c>
    </row>
    <row r="926" spans="1:7" x14ac:dyDescent="0.2">
      <c r="A926" s="12">
        <v>44764</v>
      </c>
      <c r="C926" s="22" t="s">
        <v>621</v>
      </c>
      <c r="D926" s="1" t="s">
        <v>9</v>
      </c>
      <c r="E926" s="3">
        <f>418181+252756+193620+212164</f>
        <v>1076721</v>
      </c>
      <c r="G926" s="9">
        <f t="shared" si="18"/>
        <v>10371556</v>
      </c>
    </row>
    <row r="927" spans="1:7" x14ac:dyDescent="0.2">
      <c r="A927" s="12">
        <v>44764</v>
      </c>
      <c r="C927" s="22" t="s">
        <v>622</v>
      </c>
      <c r="D927" s="1" t="s">
        <v>9</v>
      </c>
      <c r="E927" s="3">
        <v>569020</v>
      </c>
      <c r="G927" s="9">
        <f t="shared" si="18"/>
        <v>10940576</v>
      </c>
    </row>
    <row r="928" spans="1:7" x14ac:dyDescent="0.2">
      <c r="A928" s="12">
        <v>44767</v>
      </c>
      <c r="B928" s="1" t="s">
        <v>623</v>
      </c>
      <c r="C928" s="22" t="s">
        <v>624</v>
      </c>
      <c r="D928" s="1" t="s">
        <v>9</v>
      </c>
      <c r="F928" s="3">
        <v>600000</v>
      </c>
      <c r="G928" s="9">
        <f t="shared" si="18"/>
        <v>10340576</v>
      </c>
    </row>
    <row r="929" spans="1:9" x14ac:dyDescent="0.2">
      <c r="A929" s="12">
        <v>44767</v>
      </c>
      <c r="C929" s="22" t="s">
        <v>627</v>
      </c>
      <c r="D929" s="1" t="s">
        <v>9</v>
      </c>
      <c r="F929" s="3">
        <f>7752074+178402</f>
        <v>7930476</v>
      </c>
      <c r="G929" s="9">
        <f t="shared" si="18"/>
        <v>2410100</v>
      </c>
    </row>
    <row r="930" spans="1:9" x14ac:dyDescent="0.2">
      <c r="A930" s="12">
        <v>44767</v>
      </c>
      <c r="C930" s="22" t="s">
        <v>629</v>
      </c>
      <c r="D930" s="1" t="s">
        <v>9</v>
      </c>
      <c r="E930" s="3">
        <f>534428+130994</f>
        <v>665422</v>
      </c>
      <c r="G930" s="9">
        <f t="shared" si="18"/>
        <v>3075522</v>
      </c>
    </row>
    <row r="931" spans="1:9" x14ac:dyDescent="0.2">
      <c r="A931" s="12">
        <v>44767</v>
      </c>
      <c r="C931" s="2" t="s">
        <v>35</v>
      </c>
      <c r="D931" s="1" t="s">
        <v>9</v>
      </c>
      <c r="F931" s="3">
        <v>6600</v>
      </c>
      <c r="G931" s="9">
        <f t="shared" si="18"/>
        <v>3068922</v>
      </c>
    </row>
    <row r="932" spans="1:9" x14ac:dyDescent="0.2">
      <c r="A932" s="12">
        <v>44767</v>
      </c>
      <c r="C932" s="2" t="s">
        <v>27</v>
      </c>
      <c r="D932" s="1" t="s">
        <v>9</v>
      </c>
      <c r="F932" s="3">
        <v>150000</v>
      </c>
      <c r="G932" s="9">
        <f t="shared" si="18"/>
        <v>2918922</v>
      </c>
    </row>
    <row r="933" spans="1:9" x14ac:dyDescent="0.2">
      <c r="A933" s="12">
        <v>44768</v>
      </c>
      <c r="C933" s="2" t="s">
        <v>116</v>
      </c>
      <c r="D933" s="1" t="s">
        <v>9</v>
      </c>
      <c r="E933" s="3">
        <v>333846</v>
      </c>
      <c r="G933" s="9">
        <f t="shared" si="18"/>
        <v>3252768</v>
      </c>
    </row>
    <row r="934" spans="1:9" x14ac:dyDescent="0.2">
      <c r="A934" s="12">
        <v>44769</v>
      </c>
      <c r="C934" s="2" t="s">
        <v>628</v>
      </c>
      <c r="D934" s="1" t="s">
        <v>9</v>
      </c>
      <c r="F934" s="3">
        <f>4360671+124546</f>
        <v>4485217</v>
      </c>
      <c r="G934" s="9">
        <f t="shared" si="18"/>
        <v>-1232449</v>
      </c>
    </row>
    <row r="935" spans="1:9" x14ac:dyDescent="0.2">
      <c r="A935" s="12">
        <v>44771</v>
      </c>
      <c r="C935" s="2" t="s">
        <v>630</v>
      </c>
      <c r="D935" s="1" t="s">
        <v>9</v>
      </c>
      <c r="F935" s="3">
        <f>2403481</f>
        <v>2403481</v>
      </c>
      <c r="G935" s="9">
        <f t="shared" si="18"/>
        <v>-3635930</v>
      </c>
    </row>
    <row r="936" spans="1:9" x14ac:dyDescent="0.2">
      <c r="A936" s="12">
        <v>44771</v>
      </c>
      <c r="C936" s="2" t="s">
        <v>34</v>
      </c>
      <c r="D936" s="1" t="s">
        <v>9</v>
      </c>
      <c r="F936" s="3">
        <v>1100</v>
      </c>
      <c r="G936" s="9">
        <f t="shared" si="18"/>
        <v>-3637030</v>
      </c>
    </row>
    <row r="937" spans="1:9" x14ac:dyDescent="0.2">
      <c r="A937" s="12">
        <v>44771</v>
      </c>
      <c r="B937" s="1" t="s">
        <v>631</v>
      </c>
      <c r="C937" s="2" t="s">
        <v>150</v>
      </c>
      <c r="D937" s="1" t="s">
        <v>9</v>
      </c>
      <c r="F937" s="3">
        <v>114000</v>
      </c>
      <c r="G937" s="9">
        <f t="shared" si="18"/>
        <v>-3751030</v>
      </c>
    </row>
    <row r="938" spans="1:9" x14ac:dyDescent="0.2">
      <c r="A938" s="12">
        <v>44771</v>
      </c>
      <c r="C938" s="22" t="s">
        <v>632</v>
      </c>
      <c r="D938" s="1" t="s">
        <v>9</v>
      </c>
      <c r="E938" s="3">
        <f>34143+40630+165731+489464+76000+105945</f>
        <v>911913</v>
      </c>
      <c r="G938" s="9">
        <f t="shared" si="18"/>
        <v>-2839117</v>
      </c>
    </row>
    <row r="939" spans="1:9" x14ac:dyDescent="0.2">
      <c r="A939" s="12">
        <v>44771</v>
      </c>
      <c r="C939" s="2" t="s">
        <v>634</v>
      </c>
      <c r="D939" s="1" t="s">
        <v>9</v>
      </c>
      <c r="F939" s="3">
        <v>108861</v>
      </c>
      <c r="G939" s="9">
        <f t="shared" si="18"/>
        <v>-2947978</v>
      </c>
    </row>
    <row r="940" spans="1:9" ht="15.75" x14ac:dyDescent="0.25">
      <c r="A940" s="10" t="s">
        <v>657</v>
      </c>
      <c r="G940" s="9"/>
    </row>
    <row r="941" spans="1:9" x14ac:dyDescent="0.2">
      <c r="A941" s="12">
        <v>44775</v>
      </c>
      <c r="C941" s="2" t="s">
        <v>84</v>
      </c>
      <c r="D941" s="1" t="s">
        <v>9</v>
      </c>
      <c r="F941" s="3">
        <v>185185</v>
      </c>
      <c r="G941" s="9">
        <f>G939+E941-F941</f>
        <v>-3133163</v>
      </c>
      <c r="I941" s="24">
        <v>-2740163</v>
      </c>
    </row>
    <row r="942" spans="1:9" x14ac:dyDescent="0.2">
      <c r="A942" s="12">
        <v>44776</v>
      </c>
      <c r="B942" s="1" t="s">
        <v>633</v>
      </c>
      <c r="C942" s="22" t="s">
        <v>658</v>
      </c>
      <c r="D942" s="21" t="s">
        <v>9</v>
      </c>
      <c r="E942" s="23"/>
      <c r="F942" s="23">
        <v>372000</v>
      </c>
      <c r="G942" s="9">
        <f t="shared" si="18"/>
        <v>-3505163</v>
      </c>
      <c r="I942" s="9">
        <f>I941-F928-F896</f>
        <v>-3505163</v>
      </c>
    </row>
    <row r="943" spans="1:9" x14ac:dyDescent="0.2">
      <c r="A943" s="12">
        <v>44778</v>
      </c>
      <c r="B943" s="1" t="s">
        <v>635</v>
      </c>
      <c r="C943" s="22" t="s">
        <v>656</v>
      </c>
      <c r="D943" s="21" t="s">
        <v>9</v>
      </c>
      <c r="E943" s="23"/>
      <c r="F943" s="23">
        <v>224420</v>
      </c>
      <c r="G943" s="9">
        <f t="shared" si="18"/>
        <v>-3729583</v>
      </c>
    </row>
    <row r="944" spans="1:9" x14ac:dyDescent="0.2">
      <c r="A944" s="12">
        <v>44778</v>
      </c>
      <c r="C944" s="2" t="s">
        <v>18</v>
      </c>
      <c r="D944" s="1" t="s">
        <v>9</v>
      </c>
      <c r="E944" s="3">
        <v>60690</v>
      </c>
      <c r="G944" s="9">
        <f t="shared" si="18"/>
        <v>-3668893</v>
      </c>
    </row>
    <row r="945" spans="1:7" x14ac:dyDescent="0.2">
      <c r="A945" s="12">
        <v>44778</v>
      </c>
      <c r="C945" s="2" t="s">
        <v>18</v>
      </c>
      <c r="D945" s="1" t="s">
        <v>9</v>
      </c>
      <c r="E945" s="3">
        <v>10795</v>
      </c>
      <c r="G945" s="9">
        <f t="shared" si="18"/>
        <v>-3658098</v>
      </c>
    </row>
    <row r="946" spans="1:7" x14ac:dyDescent="0.2">
      <c r="A946" s="12">
        <v>44778</v>
      </c>
      <c r="C946" s="2" t="s">
        <v>18</v>
      </c>
      <c r="D946" s="1" t="s">
        <v>9</v>
      </c>
      <c r="E946" s="3">
        <v>280</v>
      </c>
      <c r="G946" s="9">
        <f t="shared" si="18"/>
        <v>-3657818</v>
      </c>
    </row>
    <row r="947" spans="1:7" x14ac:dyDescent="0.2">
      <c r="A947" s="12">
        <v>44778</v>
      </c>
      <c r="C947" s="2" t="s">
        <v>165</v>
      </c>
      <c r="D947" s="1" t="s">
        <v>9</v>
      </c>
      <c r="E947" s="3">
        <v>129200</v>
      </c>
      <c r="G947" s="9">
        <f t="shared" si="18"/>
        <v>-3528618</v>
      </c>
    </row>
    <row r="948" spans="1:7" x14ac:dyDescent="0.2">
      <c r="A948" s="12">
        <v>44778</v>
      </c>
      <c r="C948" s="2" t="s">
        <v>498</v>
      </c>
      <c r="D948" s="1" t="s">
        <v>9</v>
      </c>
      <c r="E948" s="3">
        <v>398245</v>
      </c>
      <c r="G948" s="9">
        <f t="shared" si="18"/>
        <v>-3130373</v>
      </c>
    </row>
    <row r="949" spans="1:7" x14ac:dyDescent="0.2">
      <c r="A949" s="12">
        <v>44782</v>
      </c>
      <c r="C949" s="2" t="s">
        <v>137</v>
      </c>
      <c r="D949" s="1" t="s">
        <v>9</v>
      </c>
      <c r="E949" s="3">
        <v>68204</v>
      </c>
      <c r="G949" s="9">
        <f t="shared" si="18"/>
        <v>-3062169</v>
      </c>
    </row>
    <row r="950" spans="1:7" x14ac:dyDescent="0.2">
      <c r="A950" s="12">
        <v>44783</v>
      </c>
      <c r="C950" s="22" t="s">
        <v>647</v>
      </c>
      <c r="D950" s="21" t="s">
        <v>9</v>
      </c>
      <c r="E950" s="23">
        <f>671517+503000+106436+111975+509826+60829+96996</f>
        <v>2060579</v>
      </c>
      <c r="G950" s="9">
        <f t="shared" si="18"/>
        <v>-1001590</v>
      </c>
    </row>
    <row r="951" spans="1:7" x14ac:dyDescent="0.2">
      <c r="A951" s="12">
        <v>44784</v>
      </c>
      <c r="C951" s="2" t="s">
        <v>35</v>
      </c>
      <c r="D951" s="1" t="s">
        <v>9</v>
      </c>
      <c r="F951" s="3">
        <v>6600</v>
      </c>
      <c r="G951" s="9">
        <f t="shared" si="18"/>
        <v>-1008190</v>
      </c>
    </row>
    <row r="952" spans="1:7" x14ac:dyDescent="0.2">
      <c r="A952" s="12">
        <v>44789</v>
      </c>
      <c r="C952" s="22" t="s">
        <v>648</v>
      </c>
      <c r="D952" s="21" t="s">
        <v>9</v>
      </c>
      <c r="E952" s="23">
        <f>611240+120441+285678+224613+204948+574896+1419941</f>
        <v>3441757</v>
      </c>
      <c r="G952" s="9">
        <f t="shared" si="18"/>
        <v>2433567</v>
      </c>
    </row>
    <row r="953" spans="1:7" x14ac:dyDescent="0.2">
      <c r="A953" s="12">
        <v>44789</v>
      </c>
      <c r="C953" s="2" t="s">
        <v>165</v>
      </c>
      <c r="D953" s="1" t="s">
        <v>9</v>
      </c>
      <c r="E953" s="3">
        <v>134400</v>
      </c>
      <c r="G953" s="9">
        <f t="shared" si="18"/>
        <v>2567967</v>
      </c>
    </row>
    <row r="954" spans="1:7" x14ac:dyDescent="0.2">
      <c r="A954" s="12">
        <v>44790</v>
      </c>
      <c r="C954" s="2" t="s">
        <v>116</v>
      </c>
      <c r="D954" s="1" t="s">
        <v>9</v>
      </c>
      <c r="E954" s="3">
        <v>1507568</v>
      </c>
      <c r="G954" s="9">
        <f t="shared" si="18"/>
        <v>4075535</v>
      </c>
    </row>
    <row r="955" spans="1:7" x14ac:dyDescent="0.2">
      <c r="A955" s="12">
        <v>44791</v>
      </c>
      <c r="C955" s="2" t="s">
        <v>35</v>
      </c>
      <c r="D955" s="1" t="s">
        <v>9</v>
      </c>
      <c r="F955" s="3">
        <v>6600</v>
      </c>
      <c r="G955" s="9">
        <f t="shared" si="18"/>
        <v>4068935</v>
      </c>
    </row>
    <row r="956" spans="1:7" x14ac:dyDescent="0.2">
      <c r="A956" s="12">
        <v>44791</v>
      </c>
      <c r="C956" s="2" t="s">
        <v>35</v>
      </c>
      <c r="D956" s="1" t="s">
        <v>9</v>
      </c>
      <c r="F956" s="3">
        <v>6600</v>
      </c>
      <c r="G956" s="9">
        <f t="shared" si="18"/>
        <v>4062335</v>
      </c>
    </row>
    <row r="957" spans="1:7" x14ac:dyDescent="0.2">
      <c r="A957" s="12">
        <v>44791</v>
      </c>
      <c r="C957" s="22" t="s">
        <v>649</v>
      </c>
      <c r="D957" s="1" t="s">
        <v>9</v>
      </c>
      <c r="E957" s="3">
        <f>2011804+40120+362016</f>
        <v>2413940</v>
      </c>
      <c r="G957" s="9">
        <f t="shared" si="18"/>
        <v>6476275</v>
      </c>
    </row>
    <row r="958" spans="1:7" x14ac:dyDescent="0.2">
      <c r="A958" s="12">
        <v>44791</v>
      </c>
      <c r="C958" s="2" t="s">
        <v>555</v>
      </c>
      <c r="D958" s="1" t="s">
        <v>9</v>
      </c>
      <c r="E958" s="3">
        <v>199562</v>
      </c>
      <c r="G958" s="9">
        <f t="shared" si="18"/>
        <v>6675837</v>
      </c>
    </row>
    <row r="959" spans="1:7" x14ac:dyDescent="0.2">
      <c r="A959" s="12">
        <v>44792</v>
      </c>
      <c r="C959" s="2" t="s">
        <v>636</v>
      </c>
      <c r="D959" s="1" t="s">
        <v>9</v>
      </c>
      <c r="E959" s="3">
        <v>304824</v>
      </c>
      <c r="G959" s="9">
        <f t="shared" si="18"/>
        <v>6980661</v>
      </c>
    </row>
    <row r="960" spans="1:7" x14ac:dyDescent="0.2">
      <c r="A960" s="12">
        <v>44795</v>
      </c>
      <c r="C960" s="22" t="s">
        <v>650</v>
      </c>
      <c r="D960" s="1" t="s">
        <v>9</v>
      </c>
      <c r="E960" s="3">
        <v>2136108</v>
      </c>
      <c r="G960" s="9">
        <f t="shared" si="18"/>
        <v>9116769</v>
      </c>
    </row>
    <row r="961" spans="1:7" x14ac:dyDescent="0.2">
      <c r="A961" s="12">
        <v>44796</v>
      </c>
      <c r="C961" s="2" t="s">
        <v>637</v>
      </c>
      <c r="D961" s="1" t="s">
        <v>9</v>
      </c>
      <c r="F961" s="3">
        <f>752068</f>
        <v>752068</v>
      </c>
      <c r="G961" s="9">
        <f t="shared" si="18"/>
        <v>8364701</v>
      </c>
    </row>
    <row r="962" spans="1:7" x14ac:dyDescent="0.2">
      <c r="A962" s="12">
        <v>44796</v>
      </c>
      <c r="C962" s="2" t="s">
        <v>258</v>
      </c>
      <c r="D962" s="1" t="s">
        <v>9</v>
      </c>
      <c r="E962" s="3">
        <v>99450</v>
      </c>
      <c r="G962" s="9">
        <f t="shared" si="18"/>
        <v>8464151</v>
      </c>
    </row>
    <row r="963" spans="1:7" x14ac:dyDescent="0.2">
      <c r="A963" s="12">
        <v>44796</v>
      </c>
      <c r="C963" s="22" t="s">
        <v>652</v>
      </c>
      <c r="D963" s="1" t="s">
        <v>9</v>
      </c>
      <c r="E963" s="3">
        <f>215586+646404</f>
        <v>861990</v>
      </c>
      <c r="G963" s="9">
        <f t="shared" si="18"/>
        <v>9326141</v>
      </c>
    </row>
    <row r="964" spans="1:7" x14ac:dyDescent="0.2">
      <c r="A964" s="12">
        <v>44796</v>
      </c>
      <c r="B964" s="1" t="s">
        <v>638</v>
      </c>
      <c r="C964" s="22" t="s">
        <v>624</v>
      </c>
      <c r="D964" s="1" t="s">
        <v>9</v>
      </c>
      <c r="F964" s="3">
        <v>600000</v>
      </c>
      <c r="G964" s="9">
        <f t="shared" si="18"/>
        <v>8726141</v>
      </c>
    </row>
    <row r="965" spans="1:7" x14ac:dyDescent="0.2">
      <c r="A965" s="12">
        <v>44796</v>
      </c>
      <c r="B965" s="1" t="s">
        <v>639</v>
      </c>
      <c r="C965" s="22" t="s">
        <v>655</v>
      </c>
      <c r="D965" s="1" t="s">
        <v>9</v>
      </c>
      <c r="F965" s="3">
        <v>165000</v>
      </c>
      <c r="G965" s="9">
        <f t="shared" si="18"/>
        <v>8561141</v>
      </c>
    </row>
    <row r="966" spans="1:7" x14ac:dyDescent="0.2">
      <c r="A966" s="12">
        <v>44798</v>
      </c>
      <c r="C966" s="2" t="s">
        <v>651</v>
      </c>
      <c r="D966" s="1" t="s">
        <v>9</v>
      </c>
      <c r="F966" s="3">
        <f>7594414+175292</f>
        <v>7769706</v>
      </c>
      <c r="G966" s="9">
        <f t="shared" si="18"/>
        <v>791435</v>
      </c>
    </row>
    <row r="967" spans="1:7" x14ac:dyDescent="0.2">
      <c r="A967" s="12">
        <v>44798</v>
      </c>
      <c r="C967" s="2" t="s">
        <v>653</v>
      </c>
      <c r="D967" s="1" t="s">
        <v>9</v>
      </c>
      <c r="E967" s="3">
        <f>176829+218875+209733+522221+425791+175391</f>
        <v>1728840</v>
      </c>
      <c r="G967" s="9">
        <f t="shared" si="18"/>
        <v>2520275</v>
      </c>
    </row>
    <row r="968" spans="1:7" x14ac:dyDescent="0.2">
      <c r="A968" s="12">
        <v>44798</v>
      </c>
      <c r="C968" s="2" t="s">
        <v>641</v>
      </c>
      <c r="D968" s="1" t="s">
        <v>9</v>
      </c>
      <c r="F968" s="3">
        <f>335000+275</f>
        <v>335275</v>
      </c>
      <c r="G968" s="9">
        <f t="shared" si="18"/>
        <v>2185000</v>
      </c>
    </row>
    <row r="969" spans="1:7" x14ac:dyDescent="0.2">
      <c r="A969" s="12">
        <v>44798</v>
      </c>
      <c r="C969" s="2" t="s">
        <v>642</v>
      </c>
      <c r="D969" s="1" t="s">
        <v>9</v>
      </c>
      <c r="F969" s="3">
        <f>223681</f>
        <v>223681</v>
      </c>
      <c r="G969" s="9">
        <f t="shared" si="18"/>
        <v>1961319</v>
      </c>
    </row>
    <row r="970" spans="1:7" x14ac:dyDescent="0.2">
      <c r="A970" s="12">
        <v>44798</v>
      </c>
      <c r="C970" s="2" t="s">
        <v>643</v>
      </c>
      <c r="D970" s="1" t="s">
        <v>9</v>
      </c>
      <c r="F970" s="3">
        <f>1794696</f>
        <v>1794696</v>
      </c>
      <c r="G970" s="9">
        <f t="shared" si="18"/>
        <v>166623</v>
      </c>
    </row>
    <row r="971" spans="1:7" x14ac:dyDescent="0.2">
      <c r="A971" s="12">
        <v>44798</v>
      </c>
      <c r="C971" s="2" t="s">
        <v>644</v>
      </c>
      <c r="D971" s="1" t="s">
        <v>9</v>
      </c>
      <c r="F971" s="3">
        <f>344673+275</f>
        <v>344948</v>
      </c>
      <c r="G971" s="9">
        <f t="shared" si="18"/>
        <v>-178325</v>
      </c>
    </row>
    <row r="972" spans="1:7" x14ac:dyDescent="0.2">
      <c r="A972" s="12">
        <v>44798</v>
      </c>
      <c r="C972" s="2" t="s">
        <v>645</v>
      </c>
      <c r="D972" s="1" t="s">
        <v>9</v>
      </c>
      <c r="F972" s="3">
        <f>99120+275</f>
        <v>99395</v>
      </c>
      <c r="G972" s="9">
        <f t="shared" si="18"/>
        <v>-277720</v>
      </c>
    </row>
    <row r="973" spans="1:7" x14ac:dyDescent="0.2">
      <c r="A973" s="12">
        <v>44798</v>
      </c>
      <c r="C973" s="2" t="s">
        <v>646</v>
      </c>
      <c r="D973" s="1" t="s">
        <v>9</v>
      </c>
      <c r="F973" s="3">
        <f>137464+275</f>
        <v>137739</v>
      </c>
      <c r="G973" s="9">
        <f t="shared" si="18"/>
        <v>-415459</v>
      </c>
    </row>
    <row r="974" spans="1:7" x14ac:dyDescent="0.2">
      <c r="A974" s="12">
        <v>44798</v>
      </c>
      <c r="C974" s="2" t="s">
        <v>27</v>
      </c>
      <c r="D974" s="1" t="s">
        <v>9</v>
      </c>
      <c r="F974" s="3">
        <v>150000</v>
      </c>
      <c r="G974" s="9">
        <f t="shared" si="18"/>
        <v>-565459</v>
      </c>
    </row>
    <row r="975" spans="1:7" x14ac:dyDescent="0.2">
      <c r="A975" s="12">
        <v>44798</v>
      </c>
      <c r="C975" s="2" t="s">
        <v>137</v>
      </c>
      <c r="D975" s="1" t="s">
        <v>9</v>
      </c>
      <c r="E975" s="3">
        <v>3636</v>
      </c>
      <c r="G975" s="9">
        <f t="shared" si="18"/>
        <v>-561823</v>
      </c>
    </row>
    <row r="976" spans="1:7" x14ac:dyDescent="0.2">
      <c r="A976" s="12">
        <v>44798</v>
      </c>
      <c r="C976" s="2" t="s">
        <v>660</v>
      </c>
      <c r="D976" s="1" t="s">
        <v>9</v>
      </c>
      <c r="E976" s="3">
        <v>344182</v>
      </c>
      <c r="G976" s="9">
        <f t="shared" si="18"/>
        <v>-217641</v>
      </c>
    </row>
    <row r="977" spans="1:7" x14ac:dyDescent="0.2">
      <c r="A977" s="12">
        <v>44802</v>
      </c>
      <c r="C977" s="2" t="s">
        <v>661</v>
      </c>
      <c r="D977" s="1" t="s">
        <v>9</v>
      </c>
      <c r="F977" s="3">
        <f>3098178</f>
        <v>3098178</v>
      </c>
      <c r="G977" s="9">
        <f t="shared" si="18"/>
        <v>-3315819</v>
      </c>
    </row>
    <row r="978" spans="1:7" x14ac:dyDescent="0.2">
      <c r="A978" s="12">
        <v>44803</v>
      </c>
      <c r="B978" s="1" t="s">
        <v>640</v>
      </c>
      <c r="C978" s="22" t="s">
        <v>659</v>
      </c>
      <c r="D978" s="1" t="s">
        <v>9</v>
      </c>
      <c r="F978" s="3">
        <v>409774</v>
      </c>
      <c r="G978" s="9">
        <f t="shared" si="18"/>
        <v>-3725593</v>
      </c>
    </row>
    <row r="979" spans="1:7" x14ac:dyDescent="0.2">
      <c r="A979" s="12">
        <v>44804</v>
      </c>
      <c r="C979" s="2" t="s">
        <v>377</v>
      </c>
      <c r="D979" s="1" t="s">
        <v>9</v>
      </c>
      <c r="E979" s="3">
        <v>1000000</v>
      </c>
      <c r="G979" s="9">
        <f t="shared" si="18"/>
        <v>-2725593</v>
      </c>
    </row>
    <row r="980" spans="1:7" x14ac:dyDescent="0.2">
      <c r="A980" s="12">
        <v>44804</v>
      </c>
      <c r="C980" s="2" t="s">
        <v>663</v>
      </c>
      <c r="D980" s="1" t="s">
        <v>9</v>
      </c>
      <c r="E980" s="3">
        <f>185944+54864+32457+382999+352112+109240+579387+667308+33984+868009</f>
        <v>3266304</v>
      </c>
      <c r="G980" s="9">
        <f t="shared" si="18"/>
        <v>540711</v>
      </c>
    </row>
    <row r="981" spans="1:7" x14ac:dyDescent="0.2">
      <c r="A981" s="12">
        <v>44804</v>
      </c>
      <c r="C981" s="2" t="s">
        <v>664</v>
      </c>
      <c r="D981" s="1" t="s">
        <v>9</v>
      </c>
      <c r="F981" s="3">
        <v>56950</v>
      </c>
      <c r="G981" s="9">
        <f t="shared" si="18"/>
        <v>483761</v>
      </c>
    </row>
    <row r="982" spans="1:7" x14ac:dyDescent="0.2">
      <c r="A982" s="12">
        <v>44804</v>
      </c>
      <c r="C982" s="2" t="s">
        <v>53</v>
      </c>
      <c r="D982" s="1" t="s">
        <v>9</v>
      </c>
      <c r="F982" s="3">
        <v>100</v>
      </c>
      <c r="G982" s="9">
        <f t="shared" si="18"/>
        <v>483661</v>
      </c>
    </row>
    <row r="983" spans="1:7" ht="15.75" x14ac:dyDescent="0.25">
      <c r="A983" s="10" t="s">
        <v>665</v>
      </c>
      <c r="G983" s="9"/>
    </row>
    <row r="984" spans="1:7" x14ac:dyDescent="0.2">
      <c r="A984" s="12">
        <v>44805</v>
      </c>
      <c r="C984" s="2" t="s">
        <v>662</v>
      </c>
      <c r="D984" s="1" t="s">
        <v>9</v>
      </c>
      <c r="F984" s="3">
        <f>2652608</f>
        <v>2652608</v>
      </c>
      <c r="G984" s="9">
        <f>G982+E984-F984</f>
        <v>-2168947</v>
      </c>
    </row>
    <row r="985" spans="1:7" x14ac:dyDescent="0.2">
      <c r="A985" s="12">
        <v>44805</v>
      </c>
      <c r="C985" s="2" t="s">
        <v>667</v>
      </c>
      <c r="D985" s="1" t="s">
        <v>9</v>
      </c>
      <c r="F985" s="3">
        <v>4400</v>
      </c>
      <c r="G985" s="9">
        <f t="shared" si="18"/>
        <v>-2173347</v>
      </c>
    </row>
    <row r="986" spans="1:7" x14ac:dyDescent="0.2">
      <c r="A986" s="12">
        <v>44805</v>
      </c>
      <c r="C986" s="2" t="s">
        <v>189</v>
      </c>
      <c r="D986" s="1" t="s">
        <v>9</v>
      </c>
      <c r="E986" s="3">
        <v>181047</v>
      </c>
      <c r="G986" s="9">
        <f t="shared" si="18"/>
        <v>-1992300</v>
      </c>
    </row>
    <row r="987" spans="1:7" x14ac:dyDescent="0.2">
      <c r="A987" s="12">
        <v>44806</v>
      </c>
      <c r="C987" s="2" t="s">
        <v>666</v>
      </c>
      <c r="D987" s="1" t="s">
        <v>9</v>
      </c>
      <c r="F987" s="3">
        <v>3011391</v>
      </c>
      <c r="G987" s="9">
        <f t="shared" si="18"/>
        <v>-5003691</v>
      </c>
    </row>
    <row r="988" spans="1:7" x14ac:dyDescent="0.2">
      <c r="A988" s="12">
        <v>44806</v>
      </c>
      <c r="C988" s="2" t="s">
        <v>34</v>
      </c>
      <c r="D988" s="1" t="s">
        <v>9</v>
      </c>
      <c r="F988" s="3">
        <v>1100</v>
      </c>
      <c r="G988" s="9">
        <f t="shared" si="18"/>
        <v>-5004791</v>
      </c>
    </row>
    <row r="989" spans="1:7" x14ac:dyDescent="0.2">
      <c r="A989" s="12">
        <v>44809</v>
      </c>
      <c r="C989" s="2" t="s">
        <v>84</v>
      </c>
      <c r="D989" s="1" t="s">
        <v>9</v>
      </c>
      <c r="F989" s="3">
        <v>185185</v>
      </c>
      <c r="G989" s="9">
        <f t="shared" si="18"/>
        <v>-5189976</v>
      </c>
    </row>
    <row r="990" spans="1:7" x14ac:dyDescent="0.2">
      <c r="A990" s="12">
        <v>44809</v>
      </c>
      <c r="C990" s="2" t="s">
        <v>21</v>
      </c>
      <c r="D990" s="1" t="s">
        <v>9</v>
      </c>
      <c r="E990" s="3">
        <v>520028</v>
      </c>
      <c r="G990" s="9">
        <f t="shared" si="18"/>
        <v>-4669948</v>
      </c>
    </row>
    <row r="991" spans="1:7" x14ac:dyDescent="0.2">
      <c r="A991" s="12">
        <v>44809</v>
      </c>
      <c r="C991" s="2" t="s">
        <v>505</v>
      </c>
      <c r="D991" s="1" t="s">
        <v>9</v>
      </c>
      <c r="E991" s="3">
        <v>127440</v>
      </c>
      <c r="G991" s="9">
        <f t="shared" si="18"/>
        <v>-4542508</v>
      </c>
    </row>
    <row r="992" spans="1:7" x14ac:dyDescent="0.2">
      <c r="A992" s="12">
        <v>44809</v>
      </c>
      <c r="C992" s="2" t="s">
        <v>668</v>
      </c>
      <c r="D992" s="1" t="s">
        <v>9</v>
      </c>
      <c r="E992" s="3">
        <f>316278+34515+180682+69167+497252+522498</f>
        <v>1620392</v>
      </c>
      <c r="G992" s="9">
        <f t="shared" si="18"/>
        <v>-2922116</v>
      </c>
    </row>
    <row r="993" spans="1:7" x14ac:dyDescent="0.2">
      <c r="A993" s="12">
        <v>44809</v>
      </c>
      <c r="B993" s="1" t="s">
        <v>669</v>
      </c>
      <c r="C993" s="22" t="s">
        <v>154</v>
      </c>
      <c r="D993" s="1" t="s">
        <v>9</v>
      </c>
      <c r="F993" s="3">
        <v>267365</v>
      </c>
      <c r="G993" s="9">
        <f t="shared" si="18"/>
        <v>-3189481</v>
      </c>
    </row>
    <row r="994" spans="1:7" x14ac:dyDescent="0.2">
      <c r="A994" s="12">
        <v>44811</v>
      </c>
      <c r="C994" s="2" t="s">
        <v>671</v>
      </c>
      <c r="D994" s="1" t="s">
        <v>9</v>
      </c>
      <c r="E994" s="3">
        <f>308577+2818209+530174</f>
        <v>3656960</v>
      </c>
      <c r="G994" s="9">
        <f t="shared" ref="G994:G1009" si="19">G993+E994-F994</f>
        <v>467479</v>
      </c>
    </row>
    <row r="995" spans="1:7" x14ac:dyDescent="0.2">
      <c r="A995" s="12">
        <v>44812</v>
      </c>
      <c r="C995" s="2" t="s">
        <v>165</v>
      </c>
      <c r="D995" s="1" t="s">
        <v>9</v>
      </c>
      <c r="E995" s="3">
        <v>8000</v>
      </c>
      <c r="G995" s="9">
        <f t="shared" si="19"/>
        <v>475479</v>
      </c>
    </row>
    <row r="996" spans="1:7" x14ac:dyDescent="0.2">
      <c r="A996" s="12">
        <v>44813</v>
      </c>
      <c r="C996" s="2" t="s">
        <v>678</v>
      </c>
      <c r="D996" s="1" t="s">
        <v>9</v>
      </c>
      <c r="E996" s="3">
        <f>347850+354755+135151+71225+1612423+45312</f>
        <v>2566716</v>
      </c>
      <c r="G996" s="9">
        <f t="shared" si="19"/>
        <v>3042195</v>
      </c>
    </row>
    <row r="997" spans="1:7" x14ac:dyDescent="0.2">
      <c r="A997" s="12">
        <v>44816</v>
      </c>
      <c r="C997" s="2" t="s">
        <v>672</v>
      </c>
      <c r="D997" s="1" t="s">
        <v>9</v>
      </c>
      <c r="F997" s="23">
        <f>335000+275</f>
        <v>335275</v>
      </c>
      <c r="G997" s="9">
        <f t="shared" si="19"/>
        <v>2706920</v>
      </c>
    </row>
    <row r="998" spans="1:7" x14ac:dyDescent="0.2">
      <c r="A998" s="12">
        <v>44816</v>
      </c>
      <c r="C998" s="2" t="s">
        <v>673</v>
      </c>
      <c r="D998" s="1" t="s">
        <v>9</v>
      </c>
      <c r="F998" s="3">
        <f>1186244</f>
        <v>1186244</v>
      </c>
      <c r="G998" s="9">
        <f t="shared" si="19"/>
        <v>1520676</v>
      </c>
    </row>
    <row r="999" spans="1:7" x14ac:dyDescent="0.2">
      <c r="A999" s="12">
        <v>44816</v>
      </c>
      <c r="C999" s="2" t="s">
        <v>674</v>
      </c>
      <c r="D999" s="1" t="s">
        <v>9</v>
      </c>
      <c r="F999" s="3">
        <f>488124+275</f>
        <v>488399</v>
      </c>
      <c r="G999" s="9">
        <f t="shared" si="19"/>
        <v>1032277</v>
      </c>
    </row>
    <row r="1000" spans="1:7" x14ac:dyDescent="0.2">
      <c r="A1000" s="12">
        <v>44816</v>
      </c>
      <c r="C1000" s="2" t="s">
        <v>675</v>
      </c>
      <c r="D1000" s="1" t="s">
        <v>9</v>
      </c>
      <c r="F1000" s="3">
        <f>575000</f>
        <v>575000</v>
      </c>
      <c r="G1000" s="9">
        <f t="shared" si="19"/>
        <v>457277</v>
      </c>
    </row>
    <row r="1001" spans="1:7" x14ac:dyDescent="0.2">
      <c r="A1001" s="12">
        <v>44816</v>
      </c>
      <c r="C1001" s="2" t="s">
        <v>676</v>
      </c>
      <c r="D1001" s="1" t="s">
        <v>9</v>
      </c>
      <c r="F1001" s="3">
        <f>191501</f>
        <v>191501</v>
      </c>
      <c r="G1001" s="9">
        <f t="shared" si="19"/>
        <v>265776</v>
      </c>
    </row>
    <row r="1002" spans="1:7" x14ac:dyDescent="0.2">
      <c r="A1002" s="12">
        <v>44816</v>
      </c>
      <c r="C1002" s="2" t="s">
        <v>677</v>
      </c>
      <c r="D1002" s="1" t="s">
        <v>9</v>
      </c>
      <c r="F1002" s="3">
        <f>285997+275</f>
        <v>286272</v>
      </c>
      <c r="G1002" s="9">
        <f t="shared" si="19"/>
        <v>-20496</v>
      </c>
    </row>
    <row r="1003" spans="1:7" x14ac:dyDescent="0.2">
      <c r="A1003" s="12">
        <v>44816</v>
      </c>
      <c r="C1003" s="2" t="s">
        <v>646</v>
      </c>
      <c r="D1003" s="1" t="s">
        <v>9</v>
      </c>
      <c r="F1003" s="3">
        <f>137464+275</f>
        <v>137739</v>
      </c>
      <c r="G1003" s="9">
        <f t="shared" si="19"/>
        <v>-158235</v>
      </c>
    </row>
    <row r="1004" spans="1:7" x14ac:dyDescent="0.2">
      <c r="A1004" s="12">
        <v>44816</v>
      </c>
      <c r="C1004" s="2" t="s">
        <v>679</v>
      </c>
      <c r="D1004" s="1" t="s">
        <v>9</v>
      </c>
      <c r="E1004" s="3">
        <f>361080+861537+211362+17672</f>
        <v>1451651</v>
      </c>
      <c r="G1004" s="9">
        <f t="shared" si="19"/>
        <v>1293416</v>
      </c>
    </row>
    <row r="1005" spans="1:7" x14ac:dyDescent="0.2">
      <c r="A1005" s="12">
        <v>44817</v>
      </c>
      <c r="C1005" s="2" t="s">
        <v>18</v>
      </c>
      <c r="D1005" s="1" t="s">
        <v>9</v>
      </c>
      <c r="E1005" s="3">
        <v>36975</v>
      </c>
      <c r="G1005" s="9">
        <f t="shared" si="19"/>
        <v>1330391</v>
      </c>
    </row>
    <row r="1006" spans="1:7" x14ac:dyDescent="0.2">
      <c r="A1006" s="12">
        <v>44818</v>
      </c>
      <c r="C1006" s="2" t="s">
        <v>680</v>
      </c>
      <c r="D1006" s="1" t="s">
        <v>9</v>
      </c>
      <c r="E1006" s="3">
        <f>26078+10408+1855935+413000</f>
        <v>2305421</v>
      </c>
      <c r="G1006" s="9">
        <f t="shared" si="19"/>
        <v>3635812</v>
      </c>
    </row>
    <row r="1007" spans="1:7" x14ac:dyDescent="0.2">
      <c r="A1007" s="12">
        <v>44818</v>
      </c>
      <c r="C1007" s="2" t="s">
        <v>670</v>
      </c>
      <c r="D1007" s="1" t="s">
        <v>9</v>
      </c>
      <c r="F1007" s="3">
        <f>1798226+5000</f>
        <v>1803226</v>
      </c>
      <c r="G1007" s="9">
        <f t="shared" si="19"/>
        <v>1832586</v>
      </c>
    </row>
    <row r="1008" spans="1:7" x14ac:dyDescent="0.2">
      <c r="A1008" s="12">
        <v>44818</v>
      </c>
      <c r="C1008" s="2" t="s">
        <v>670</v>
      </c>
      <c r="D1008" s="1" t="s">
        <v>9</v>
      </c>
      <c r="F1008" s="3">
        <f>229475+5000</f>
        <v>234475</v>
      </c>
      <c r="G1008" s="9">
        <f t="shared" si="19"/>
        <v>1598111</v>
      </c>
    </row>
    <row r="1009" spans="1:7" x14ac:dyDescent="0.2">
      <c r="A1009" s="20">
        <v>44818</v>
      </c>
      <c r="B1009" s="21" t="s">
        <v>689</v>
      </c>
      <c r="C1009" s="22" t="s">
        <v>725</v>
      </c>
      <c r="D1009" s="21" t="s">
        <v>9</v>
      </c>
      <c r="E1009" s="23"/>
      <c r="F1009" s="23">
        <v>600000</v>
      </c>
      <c r="G1009" s="9">
        <f t="shared" si="19"/>
        <v>998111</v>
      </c>
    </row>
    <row r="1010" spans="1:7" x14ac:dyDescent="0.2">
      <c r="A1010" s="12">
        <v>44819</v>
      </c>
      <c r="B1010" s="1" t="s">
        <v>688</v>
      </c>
      <c r="C1010" s="2" t="s">
        <v>700</v>
      </c>
      <c r="D1010" s="1" t="s">
        <v>9</v>
      </c>
      <c r="F1010" s="3">
        <v>165000</v>
      </c>
      <c r="G1010" s="9">
        <f t="shared" ref="G1010:G1073" si="20">G1009+E1010-F1010</f>
        <v>833111</v>
      </c>
    </row>
    <row r="1011" spans="1:7" x14ac:dyDescent="0.2">
      <c r="A1011" s="12">
        <v>44819</v>
      </c>
      <c r="C1011" s="2" t="s">
        <v>555</v>
      </c>
      <c r="D1011" s="1" t="s">
        <v>9</v>
      </c>
      <c r="E1011" s="3">
        <v>189272</v>
      </c>
      <c r="G1011" s="9">
        <f t="shared" si="20"/>
        <v>1022383</v>
      </c>
    </row>
    <row r="1012" spans="1:7" x14ac:dyDescent="0.2">
      <c r="A1012" s="12">
        <v>44820</v>
      </c>
      <c r="C1012" s="2" t="s">
        <v>681</v>
      </c>
      <c r="D1012" s="1" t="s">
        <v>9</v>
      </c>
      <c r="F1012" s="3">
        <f>2623612</f>
        <v>2623612</v>
      </c>
      <c r="G1012" s="9">
        <f t="shared" si="20"/>
        <v>-1601229</v>
      </c>
    </row>
    <row r="1013" spans="1:7" x14ac:dyDescent="0.2">
      <c r="A1013" s="12">
        <v>44820</v>
      </c>
      <c r="C1013" s="2" t="s">
        <v>682</v>
      </c>
      <c r="D1013" s="1" t="s">
        <v>9</v>
      </c>
      <c r="E1013" s="3">
        <f>89788+31093+444511+41625+2207469</f>
        <v>2814486</v>
      </c>
      <c r="G1013" s="9">
        <f t="shared" si="20"/>
        <v>1213257</v>
      </c>
    </row>
    <row r="1014" spans="1:7" x14ac:dyDescent="0.2">
      <c r="A1014" s="12">
        <v>44820</v>
      </c>
      <c r="C1014" s="2" t="s">
        <v>35</v>
      </c>
      <c r="D1014" s="1" t="s">
        <v>9</v>
      </c>
      <c r="F1014" s="3">
        <v>6600</v>
      </c>
      <c r="G1014" s="9">
        <f t="shared" si="20"/>
        <v>1206657</v>
      </c>
    </row>
    <row r="1015" spans="1:7" x14ac:dyDescent="0.2">
      <c r="A1015" s="20">
        <v>44820</v>
      </c>
      <c r="B1015" s="21"/>
      <c r="C1015" s="22" t="s">
        <v>687</v>
      </c>
      <c r="D1015" s="21" t="s">
        <v>9</v>
      </c>
      <c r="E1015" s="23">
        <v>335000</v>
      </c>
      <c r="F1015" s="23"/>
      <c r="G1015" s="9">
        <f t="shared" si="20"/>
        <v>1541657</v>
      </c>
    </row>
    <row r="1016" spans="1:7" x14ac:dyDescent="0.2">
      <c r="A1016" s="12">
        <v>44824</v>
      </c>
      <c r="C1016" s="2" t="s">
        <v>683</v>
      </c>
      <c r="D1016" s="1" t="s">
        <v>9</v>
      </c>
      <c r="E1016" s="3">
        <f>729783+803756+90270+636256</f>
        <v>2260065</v>
      </c>
      <c r="G1016" s="9">
        <f t="shared" si="20"/>
        <v>3801722</v>
      </c>
    </row>
    <row r="1017" spans="1:7" x14ac:dyDescent="0.2">
      <c r="A1017" s="12">
        <v>44824</v>
      </c>
      <c r="C1017" s="2" t="s">
        <v>684</v>
      </c>
      <c r="D1017" s="1" t="s">
        <v>9</v>
      </c>
      <c r="F1017" s="3">
        <f>3242120+89334</f>
        <v>3331454</v>
      </c>
      <c r="G1017" s="9">
        <f t="shared" si="20"/>
        <v>470268</v>
      </c>
    </row>
    <row r="1018" spans="1:7" x14ac:dyDescent="0.2">
      <c r="A1018" s="12">
        <v>44824</v>
      </c>
      <c r="C1018" s="2" t="s">
        <v>189</v>
      </c>
      <c r="D1018" s="1" t="s">
        <v>9</v>
      </c>
      <c r="E1018" s="3">
        <v>358800</v>
      </c>
      <c r="G1018" s="9">
        <f t="shared" si="20"/>
        <v>829068</v>
      </c>
    </row>
    <row r="1019" spans="1:7" x14ac:dyDescent="0.2">
      <c r="A1019" s="12">
        <v>44824</v>
      </c>
      <c r="C1019" s="2" t="s">
        <v>440</v>
      </c>
      <c r="D1019" s="1" t="s">
        <v>9</v>
      </c>
      <c r="E1019" s="3">
        <v>43808</v>
      </c>
      <c r="G1019" s="9">
        <f t="shared" si="20"/>
        <v>872876</v>
      </c>
    </row>
    <row r="1020" spans="1:7" x14ac:dyDescent="0.2">
      <c r="A1020" s="12">
        <v>44824</v>
      </c>
      <c r="C1020" s="2" t="s">
        <v>505</v>
      </c>
      <c r="D1020" s="1" t="s">
        <v>9</v>
      </c>
      <c r="E1020" s="3">
        <v>165141</v>
      </c>
      <c r="G1020" s="9">
        <f t="shared" si="20"/>
        <v>1038017</v>
      </c>
    </row>
    <row r="1021" spans="1:7" x14ac:dyDescent="0.2">
      <c r="A1021" s="12">
        <v>44827</v>
      </c>
      <c r="C1021" s="2" t="s">
        <v>685</v>
      </c>
      <c r="D1021" s="1" t="s">
        <v>9</v>
      </c>
      <c r="E1021" s="3">
        <f>3976895+178416+48664+211098+160480+514386+116112+242320</f>
        <v>5448371</v>
      </c>
      <c r="G1021" s="9">
        <f t="shared" si="20"/>
        <v>6486388</v>
      </c>
    </row>
    <row r="1022" spans="1:7" x14ac:dyDescent="0.2">
      <c r="A1022" s="12">
        <v>44830</v>
      </c>
      <c r="C1022" s="2" t="s">
        <v>686</v>
      </c>
      <c r="D1022" s="1" t="s">
        <v>9</v>
      </c>
      <c r="F1022" s="3">
        <f>3908227</f>
        <v>3908227</v>
      </c>
      <c r="G1022" s="9">
        <f t="shared" si="20"/>
        <v>2578161</v>
      </c>
    </row>
    <row r="1023" spans="1:7" x14ac:dyDescent="0.2">
      <c r="A1023" s="12">
        <v>44830</v>
      </c>
      <c r="B1023" s="1" t="s">
        <v>690</v>
      </c>
      <c r="C1023" s="2" t="s">
        <v>150</v>
      </c>
      <c r="D1023" s="1" t="s">
        <v>9</v>
      </c>
      <c r="F1023" s="3">
        <v>228000</v>
      </c>
      <c r="G1023" s="9">
        <f t="shared" si="20"/>
        <v>2350161</v>
      </c>
    </row>
    <row r="1024" spans="1:7" x14ac:dyDescent="0.2">
      <c r="A1024" s="12">
        <v>44832</v>
      </c>
      <c r="C1024" s="2" t="s">
        <v>258</v>
      </c>
      <c r="D1024" s="1" t="s">
        <v>9</v>
      </c>
      <c r="E1024" s="3">
        <v>868998</v>
      </c>
      <c r="G1024" s="9">
        <f t="shared" si="20"/>
        <v>3219159</v>
      </c>
    </row>
    <row r="1025" spans="1:7" x14ac:dyDescent="0.2">
      <c r="A1025" s="12">
        <v>44832</v>
      </c>
      <c r="C1025" s="2" t="s">
        <v>35</v>
      </c>
      <c r="D1025" s="1" t="s">
        <v>9</v>
      </c>
      <c r="F1025" s="3">
        <v>6600</v>
      </c>
      <c r="G1025" s="9">
        <f t="shared" si="20"/>
        <v>3212559</v>
      </c>
    </row>
    <row r="1026" spans="1:7" x14ac:dyDescent="0.2">
      <c r="A1026" s="12">
        <v>44832</v>
      </c>
      <c r="C1026" s="2" t="s">
        <v>692</v>
      </c>
      <c r="D1026" s="1" t="s">
        <v>9</v>
      </c>
      <c r="E1026" s="3">
        <f>231393+484081+73721+127782+529112+100300</f>
        <v>1546389</v>
      </c>
      <c r="G1026" s="9">
        <f t="shared" si="20"/>
        <v>4758948</v>
      </c>
    </row>
    <row r="1027" spans="1:7" x14ac:dyDescent="0.2">
      <c r="A1027" s="12">
        <v>44834</v>
      </c>
      <c r="C1027" s="2" t="s">
        <v>691</v>
      </c>
      <c r="D1027" s="1" t="s">
        <v>9</v>
      </c>
      <c r="F1027" s="3">
        <v>2681706</v>
      </c>
      <c r="G1027" s="9">
        <f t="shared" si="20"/>
        <v>2077242</v>
      </c>
    </row>
    <row r="1028" spans="1:7" x14ac:dyDescent="0.2">
      <c r="A1028" s="12">
        <v>44834</v>
      </c>
      <c r="C1028" s="2" t="s">
        <v>34</v>
      </c>
      <c r="D1028" s="1" t="s">
        <v>9</v>
      </c>
      <c r="F1028" s="3">
        <v>825</v>
      </c>
      <c r="G1028" s="9">
        <f t="shared" si="20"/>
        <v>2076417</v>
      </c>
    </row>
    <row r="1029" spans="1:7" x14ac:dyDescent="0.2">
      <c r="A1029" s="12">
        <v>44834</v>
      </c>
      <c r="C1029" s="2" t="s">
        <v>693</v>
      </c>
      <c r="D1029" s="1" t="s">
        <v>9</v>
      </c>
      <c r="E1029" s="3">
        <f>140715+246075+57728</f>
        <v>444518</v>
      </c>
      <c r="G1029" s="9">
        <f t="shared" si="20"/>
        <v>2520935</v>
      </c>
    </row>
    <row r="1030" spans="1:7" x14ac:dyDescent="0.2">
      <c r="A1030" s="12">
        <v>44834</v>
      </c>
      <c r="C1030" s="2" t="s">
        <v>616</v>
      </c>
      <c r="D1030" s="1" t="s">
        <v>9</v>
      </c>
      <c r="E1030" s="3">
        <v>3000000</v>
      </c>
      <c r="G1030" s="9">
        <f t="shared" si="20"/>
        <v>5520935</v>
      </c>
    </row>
    <row r="1031" spans="1:7" x14ac:dyDescent="0.2">
      <c r="A1031" s="12">
        <v>44834</v>
      </c>
      <c r="C1031" s="2" t="s">
        <v>53</v>
      </c>
      <c r="D1031" s="1" t="s">
        <v>9</v>
      </c>
      <c r="F1031" s="3">
        <v>100</v>
      </c>
      <c r="G1031" s="9">
        <f t="shared" si="20"/>
        <v>5520835</v>
      </c>
    </row>
    <row r="1032" spans="1:7" ht="15.75" x14ac:dyDescent="0.25">
      <c r="A1032" s="10" t="s">
        <v>694</v>
      </c>
      <c r="G1032" s="9"/>
    </row>
    <row r="1033" spans="1:7" x14ac:dyDescent="0.2">
      <c r="A1033" s="20">
        <v>44837</v>
      </c>
      <c r="B1033" s="21"/>
      <c r="C1033" s="22" t="s">
        <v>695</v>
      </c>
      <c r="D1033" s="21" t="s">
        <v>9</v>
      </c>
      <c r="E1033" s="23"/>
      <c r="F1033" s="23">
        <v>73687</v>
      </c>
      <c r="G1033" s="9">
        <f>G1031+E1033-F1033</f>
        <v>5447148</v>
      </c>
    </row>
    <row r="1034" spans="1:7" x14ac:dyDescent="0.2">
      <c r="A1034" s="20">
        <v>44837</v>
      </c>
      <c r="B1034" s="21"/>
      <c r="C1034" s="31" t="s">
        <v>719</v>
      </c>
      <c r="D1034" s="32" t="s">
        <v>9</v>
      </c>
      <c r="E1034" s="23">
        <v>73687</v>
      </c>
      <c r="F1034" s="23"/>
      <c r="G1034" s="9">
        <f t="shared" si="20"/>
        <v>5520835</v>
      </c>
    </row>
    <row r="1035" spans="1:7" x14ac:dyDescent="0.2">
      <c r="A1035" s="12">
        <v>44837</v>
      </c>
      <c r="C1035" s="2" t="s">
        <v>696</v>
      </c>
      <c r="D1035" s="1" t="s">
        <v>9</v>
      </c>
      <c r="E1035" s="3">
        <v>3522787</v>
      </c>
      <c r="G1035" s="9">
        <f t="shared" si="20"/>
        <v>9043622</v>
      </c>
    </row>
    <row r="1036" spans="1:7" x14ac:dyDescent="0.2">
      <c r="A1036" s="12">
        <v>44837</v>
      </c>
      <c r="C1036" s="2" t="s">
        <v>698</v>
      </c>
      <c r="D1036" s="1" t="s">
        <v>9</v>
      </c>
      <c r="E1036" s="3">
        <v>263680</v>
      </c>
      <c r="G1036" s="9">
        <f t="shared" si="20"/>
        <v>9307302</v>
      </c>
    </row>
    <row r="1037" spans="1:7" x14ac:dyDescent="0.2">
      <c r="A1037" s="12">
        <v>44838</v>
      </c>
      <c r="C1037" s="2" t="s">
        <v>84</v>
      </c>
      <c r="D1037" s="1" t="s">
        <v>9</v>
      </c>
      <c r="F1037" s="3">
        <v>185185</v>
      </c>
      <c r="G1037" s="9">
        <f t="shared" si="20"/>
        <v>9122117</v>
      </c>
    </row>
    <row r="1038" spans="1:7" x14ac:dyDescent="0.2">
      <c r="A1038" s="12">
        <v>44840</v>
      </c>
      <c r="C1038" s="2" t="s">
        <v>35</v>
      </c>
      <c r="D1038" s="1" t="s">
        <v>9</v>
      </c>
      <c r="F1038" s="3">
        <v>6600</v>
      </c>
      <c r="G1038" s="9">
        <f t="shared" si="20"/>
        <v>9115517</v>
      </c>
    </row>
    <row r="1039" spans="1:7" x14ac:dyDescent="0.2">
      <c r="A1039" s="12">
        <v>44840</v>
      </c>
      <c r="C1039" s="2" t="s">
        <v>701</v>
      </c>
      <c r="D1039" s="1" t="s">
        <v>9</v>
      </c>
      <c r="E1039" s="3">
        <v>102808</v>
      </c>
      <c r="G1039" s="9">
        <f t="shared" si="20"/>
        <v>9218325</v>
      </c>
    </row>
    <row r="1040" spans="1:7" x14ac:dyDescent="0.2">
      <c r="A1040" s="12">
        <v>44840</v>
      </c>
      <c r="C1040" s="2" t="s">
        <v>697</v>
      </c>
      <c r="D1040" s="1" t="s">
        <v>9</v>
      </c>
      <c r="F1040" s="3">
        <f>4763173+119375</f>
        <v>4882548</v>
      </c>
      <c r="G1040" s="9">
        <f t="shared" si="20"/>
        <v>4335777</v>
      </c>
    </row>
    <row r="1041" spans="1:7" x14ac:dyDescent="0.2">
      <c r="A1041" s="12">
        <v>44840</v>
      </c>
      <c r="C1041" s="2" t="s">
        <v>699</v>
      </c>
      <c r="D1041" s="1" t="s">
        <v>9</v>
      </c>
      <c r="E1041" s="3">
        <f>207059+51773+233546+356832+600000</f>
        <v>1449210</v>
      </c>
      <c r="G1041" s="9">
        <f t="shared" si="20"/>
        <v>5784987</v>
      </c>
    </row>
    <row r="1042" spans="1:7" x14ac:dyDescent="0.2">
      <c r="A1042" s="12">
        <v>44841</v>
      </c>
      <c r="C1042" s="2" t="s">
        <v>137</v>
      </c>
      <c r="D1042" s="1" t="s">
        <v>9</v>
      </c>
      <c r="E1042" s="3">
        <v>129387</v>
      </c>
      <c r="G1042" s="9">
        <f t="shared" si="20"/>
        <v>5914374</v>
      </c>
    </row>
    <row r="1043" spans="1:7" x14ac:dyDescent="0.2">
      <c r="A1043" s="12">
        <v>44844</v>
      </c>
      <c r="C1043" s="2" t="s">
        <v>603</v>
      </c>
      <c r="D1043" s="1" t="s">
        <v>9</v>
      </c>
      <c r="F1043" s="3">
        <f>137464+275</f>
        <v>137739</v>
      </c>
      <c r="G1043" s="9">
        <f t="shared" si="20"/>
        <v>5776635</v>
      </c>
    </row>
    <row r="1044" spans="1:7" x14ac:dyDescent="0.2">
      <c r="A1044" s="12">
        <v>44844</v>
      </c>
      <c r="C1044" s="2" t="s">
        <v>702</v>
      </c>
      <c r="D1044" s="1" t="s">
        <v>9</v>
      </c>
      <c r="F1044" s="3">
        <f>575000</f>
        <v>575000</v>
      </c>
      <c r="G1044" s="9">
        <f t="shared" si="20"/>
        <v>5201635</v>
      </c>
    </row>
    <row r="1045" spans="1:7" x14ac:dyDescent="0.2">
      <c r="A1045" s="12">
        <v>44844</v>
      </c>
      <c r="C1045" s="2" t="s">
        <v>703</v>
      </c>
      <c r="D1045" s="1" t="s">
        <v>9</v>
      </c>
      <c r="F1045" s="3">
        <f>715670+275</f>
        <v>715945</v>
      </c>
      <c r="G1045" s="9">
        <f t="shared" si="20"/>
        <v>4485690</v>
      </c>
    </row>
    <row r="1046" spans="1:7" x14ac:dyDescent="0.2">
      <c r="A1046" s="12">
        <v>44844</v>
      </c>
      <c r="C1046" s="2" t="s">
        <v>704</v>
      </c>
      <c r="D1046" s="1" t="s">
        <v>9</v>
      </c>
      <c r="F1046" s="3">
        <f>218595+275</f>
        <v>218870</v>
      </c>
      <c r="G1046" s="9">
        <f t="shared" si="20"/>
        <v>4266820</v>
      </c>
    </row>
    <row r="1047" spans="1:7" x14ac:dyDescent="0.2">
      <c r="A1047" s="12">
        <v>44844</v>
      </c>
      <c r="C1047" s="2" t="s">
        <v>705</v>
      </c>
      <c r="D1047" s="1" t="s">
        <v>9</v>
      </c>
      <c r="F1047" s="3">
        <f>33134</f>
        <v>33134</v>
      </c>
      <c r="G1047" s="9">
        <f t="shared" si="20"/>
        <v>4233686</v>
      </c>
    </row>
    <row r="1048" spans="1:7" x14ac:dyDescent="0.2">
      <c r="A1048" s="12">
        <v>44844</v>
      </c>
      <c r="C1048" s="2" t="s">
        <v>706</v>
      </c>
      <c r="D1048" s="1" t="s">
        <v>9</v>
      </c>
      <c r="F1048" s="3">
        <f>750000</f>
        <v>750000</v>
      </c>
      <c r="G1048" s="9">
        <f t="shared" si="20"/>
        <v>3483686</v>
      </c>
    </row>
    <row r="1049" spans="1:7" x14ac:dyDescent="0.2">
      <c r="A1049" s="12">
        <v>44844</v>
      </c>
      <c r="C1049" s="2" t="s">
        <v>707</v>
      </c>
      <c r="D1049" s="1" t="s">
        <v>9</v>
      </c>
      <c r="F1049" s="3">
        <f>204003</f>
        <v>204003</v>
      </c>
      <c r="G1049" s="9">
        <f t="shared" si="20"/>
        <v>3279683</v>
      </c>
    </row>
    <row r="1050" spans="1:7" x14ac:dyDescent="0.2">
      <c r="A1050" s="12">
        <v>44844</v>
      </c>
      <c r="C1050" s="2" t="s">
        <v>708</v>
      </c>
      <c r="D1050" s="1" t="s">
        <v>9</v>
      </c>
      <c r="F1050" s="3">
        <f>946468+275</f>
        <v>946743</v>
      </c>
      <c r="G1050" s="9">
        <f t="shared" si="20"/>
        <v>2332940</v>
      </c>
    </row>
    <row r="1051" spans="1:7" x14ac:dyDescent="0.2">
      <c r="A1051" s="12">
        <v>44844</v>
      </c>
      <c r="B1051" s="1" t="s">
        <v>714</v>
      </c>
      <c r="C1051" s="2" t="s">
        <v>150</v>
      </c>
      <c r="D1051" s="1" t="s">
        <v>9</v>
      </c>
      <c r="F1051" s="3">
        <v>114000</v>
      </c>
      <c r="G1051" s="9">
        <f t="shared" si="20"/>
        <v>2218940</v>
      </c>
    </row>
    <row r="1052" spans="1:7" x14ac:dyDescent="0.2">
      <c r="A1052" s="12">
        <v>44845</v>
      </c>
      <c r="B1052" s="1" t="s">
        <v>712</v>
      </c>
      <c r="C1052" s="2" t="s">
        <v>700</v>
      </c>
      <c r="D1052" s="1" t="s">
        <v>9</v>
      </c>
      <c r="F1052" s="3">
        <v>165000</v>
      </c>
      <c r="G1052" s="9">
        <f t="shared" si="20"/>
        <v>2053940</v>
      </c>
    </row>
    <row r="1053" spans="1:7" x14ac:dyDescent="0.2">
      <c r="A1053" s="12">
        <v>44845</v>
      </c>
      <c r="C1053" s="2" t="s">
        <v>718</v>
      </c>
      <c r="D1053" s="1" t="s">
        <v>9</v>
      </c>
      <c r="E1053" s="3">
        <v>102663</v>
      </c>
      <c r="G1053" s="9">
        <f t="shared" si="20"/>
        <v>2156603</v>
      </c>
    </row>
    <row r="1054" spans="1:7" x14ac:dyDescent="0.2">
      <c r="A1054" s="12">
        <v>44845</v>
      </c>
      <c r="C1054" s="2" t="s">
        <v>116</v>
      </c>
      <c r="D1054" s="1" t="s">
        <v>9</v>
      </c>
      <c r="E1054" s="3">
        <v>1042988</v>
      </c>
      <c r="G1054" s="9">
        <f t="shared" si="20"/>
        <v>3199591</v>
      </c>
    </row>
    <row r="1055" spans="1:7" x14ac:dyDescent="0.2">
      <c r="A1055" s="12">
        <v>44845</v>
      </c>
      <c r="C1055" s="2" t="s">
        <v>505</v>
      </c>
      <c r="D1055" s="1" t="s">
        <v>9</v>
      </c>
      <c r="E1055" s="3">
        <v>339194</v>
      </c>
      <c r="G1055" s="9">
        <f t="shared" si="20"/>
        <v>3538785</v>
      </c>
    </row>
    <row r="1056" spans="1:7" x14ac:dyDescent="0.2">
      <c r="A1056" s="12">
        <v>44846</v>
      </c>
      <c r="B1056" s="1" t="s">
        <v>721</v>
      </c>
      <c r="C1056" s="2" t="s">
        <v>722</v>
      </c>
      <c r="D1056" s="1" t="s">
        <v>9</v>
      </c>
      <c r="G1056" s="9">
        <f t="shared" si="20"/>
        <v>3538785</v>
      </c>
    </row>
    <row r="1057" spans="1:9" x14ac:dyDescent="0.2">
      <c r="A1057" s="12">
        <v>44846</v>
      </c>
      <c r="C1057" s="2" t="s">
        <v>137</v>
      </c>
      <c r="D1057" s="1" t="s">
        <v>9</v>
      </c>
      <c r="E1057" s="3">
        <v>28586</v>
      </c>
      <c r="G1057" s="9">
        <f t="shared" si="20"/>
        <v>3567371</v>
      </c>
    </row>
    <row r="1058" spans="1:9" x14ac:dyDescent="0.2">
      <c r="A1058" s="12">
        <v>44847</v>
      </c>
      <c r="C1058" s="2" t="s">
        <v>715</v>
      </c>
      <c r="D1058" s="1" t="s">
        <v>9</v>
      </c>
      <c r="E1058" s="3">
        <f>175425+233770+1142769+93881+44073</f>
        <v>1689918</v>
      </c>
      <c r="G1058" s="9">
        <f t="shared" si="20"/>
        <v>5257289</v>
      </c>
    </row>
    <row r="1059" spans="1:9" x14ac:dyDescent="0.2">
      <c r="A1059" s="12">
        <v>44847</v>
      </c>
      <c r="C1059" s="2" t="s">
        <v>528</v>
      </c>
      <c r="D1059" s="1" t="s">
        <v>9</v>
      </c>
      <c r="F1059" s="3">
        <v>5000</v>
      </c>
      <c r="G1059" s="9">
        <f t="shared" si="20"/>
        <v>5252289</v>
      </c>
    </row>
    <row r="1060" spans="1:9" x14ac:dyDescent="0.2">
      <c r="A1060" s="12">
        <v>44847</v>
      </c>
      <c r="C1060" s="2" t="s">
        <v>528</v>
      </c>
      <c r="D1060" s="1" t="s">
        <v>9</v>
      </c>
      <c r="F1060" s="3">
        <v>5000</v>
      </c>
      <c r="G1060" s="9">
        <f t="shared" si="20"/>
        <v>5247289</v>
      </c>
    </row>
    <row r="1061" spans="1:9" x14ac:dyDescent="0.2">
      <c r="A1061" s="12">
        <v>44847</v>
      </c>
      <c r="C1061" s="2" t="s">
        <v>528</v>
      </c>
      <c r="D1061" s="1" t="s">
        <v>9</v>
      </c>
      <c r="F1061" s="3">
        <v>5000</v>
      </c>
      <c r="G1061" s="9">
        <f t="shared" si="20"/>
        <v>5242289</v>
      </c>
    </row>
    <row r="1062" spans="1:9" x14ac:dyDescent="0.2">
      <c r="A1062" s="12">
        <v>44848</v>
      </c>
      <c r="C1062" s="2" t="s">
        <v>709</v>
      </c>
      <c r="D1062" s="1" t="s">
        <v>9</v>
      </c>
      <c r="F1062" s="3">
        <v>3442089</v>
      </c>
      <c r="G1062" s="9">
        <f t="shared" si="20"/>
        <v>1800200</v>
      </c>
      <c r="I1062" s="24"/>
    </row>
    <row r="1063" spans="1:9" x14ac:dyDescent="0.2">
      <c r="A1063" s="12">
        <v>44848</v>
      </c>
      <c r="C1063" s="2" t="s">
        <v>710</v>
      </c>
      <c r="D1063" s="1" t="s">
        <v>9</v>
      </c>
      <c r="F1063" s="3">
        <v>13300</v>
      </c>
      <c r="G1063" s="9">
        <f t="shared" si="20"/>
        <v>1786900</v>
      </c>
      <c r="I1063" s="24"/>
    </row>
    <row r="1064" spans="1:9" x14ac:dyDescent="0.2">
      <c r="A1064" s="12">
        <v>44848</v>
      </c>
      <c r="C1064" s="2" t="s">
        <v>711</v>
      </c>
      <c r="D1064" s="1" t="s">
        <v>9</v>
      </c>
      <c r="F1064" s="3">
        <v>79599</v>
      </c>
      <c r="G1064" s="9">
        <f t="shared" si="20"/>
        <v>1707301</v>
      </c>
    </row>
    <row r="1065" spans="1:9" x14ac:dyDescent="0.2">
      <c r="A1065" s="12">
        <v>44848</v>
      </c>
      <c r="C1065" s="2" t="s">
        <v>717</v>
      </c>
      <c r="D1065" s="1" t="s">
        <v>9</v>
      </c>
      <c r="E1065" s="3">
        <f>114342+372408+533124</f>
        <v>1019874</v>
      </c>
      <c r="G1065" s="9">
        <f t="shared" si="20"/>
        <v>2727175</v>
      </c>
    </row>
    <row r="1066" spans="1:9" x14ac:dyDescent="0.2">
      <c r="A1066" s="12">
        <v>44848</v>
      </c>
      <c r="C1066" s="2" t="s">
        <v>35</v>
      </c>
      <c r="D1066" s="1" t="s">
        <v>9</v>
      </c>
      <c r="F1066" s="3">
        <v>6600</v>
      </c>
      <c r="G1066" s="9">
        <f t="shared" si="20"/>
        <v>2720575</v>
      </c>
    </row>
    <row r="1067" spans="1:9" x14ac:dyDescent="0.2">
      <c r="A1067" s="12">
        <v>44848</v>
      </c>
      <c r="C1067" s="2" t="s">
        <v>35</v>
      </c>
      <c r="D1067" s="1" t="s">
        <v>9</v>
      </c>
      <c r="F1067" s="3">
        <v>6600</v>
      </c>
      <c r="G1067" s="9">
        <f t="shared" si="20"/>
        <v>2713975</v>
      </c>
    </row>
    <row r="1068" spans="1:9" x14ac:dyDescent="0.2">
      <c r="A1068" s="12">
        <v>44848</v>
      </c>
      <c r="C1068" s="2" t="s">
        <v>716</v>
      </c>
      <c r="D1068" s="1" t="s">
        <v>9</v>
      </c>
      <c r="E1068" s="3">
        <v>2296498</v>
      </c>
      <c r="G1068" s="9">
        <f t="shared" si="20"/>
        <v>5010473</v>
      </c>
    </row>
    <row r="1069" spans="1:9" x14ac:dyDescent="0.2">
      <c r="A1069" s="12">
        <v>44852</v>
      </c>
      <c r="C1069" s="2" t="s">
        <v>720</v>
      </c>
      <c r="D1069" s="1" t="s">
        <v>9</v>
      </c>
      <c r="E1069" s="3">
        <f>748498+1258910</f>
        <v>2007408</v>
      </c>
      <c r="G1069" s="9">
        <f t="shared" si="20"/>
        <v>7017881</v>
      </c>
    </row>
    <row r="1070" spans="1:9" x14ac:dyDescent="0.2">
      <c r="A1070" s="12">
        <v>44852</v>
      </c>
      <c r="B1070" s="1" t="s">
        <v>713</v>
      </c>
      <c r="C1070" s="2" t="s">
        <v>724</v>
      </c>
      <c r="D1070" s="1" t="s">
        <v>9</v>
      </c>
      <c r="F1070" s="3">
        <v>600000</v>
      </c>
      <c r="G1070" s="9">
        <f t="shared" si="20"/>
        <v>6417881</v>
      </c>
    </row>
    <row r="1071" spans="1:9" x14ac:dyDescent="0.2">
      <c r="A1071" s="12">
        <v>44852</v>
      </c>
      <c r="B1071" s="1" t="s">
        <v>723</v>
      </c>
      <c r="C1071" s="2" t="s">
        <v>726</v>
      </c>
      <c r="D1071" s="1" t="s">
        <v>9</v>
      </c>
      <c r="F1071" s="3">
        <v>1504205</v>
      </c>
      <c r="G1071" s="9">
        <f t="shared" si="20"/>
        <v>4913676</v>
      </c>
    </row>
    <row r="1072" spans="1:9" x14ac:dyDescent="0.2">
      <c r="A1072" s="12">
        <v>44852</v>
      </c>
      <c r="B1072" s="25" t="s">
        <v>734</v>
      </c>
      <c r="C1072" s="18" t="s">
        <v>733</v>
      </c>
      <c r="D1072" s="25" t="s">
        <v>9</v>
      </c>
      <c r="F1072" s="3">
        <v>670000</v>
      </c>
      <c r="G1072" s="9">
        <f t="shared" si="20"/>
        <v>4243676</v>
      </c>
    </row>
    <row r="1073" spans="1:9" x14ac:dyDescent="0.2">
      <c r="A1073" s="12">
        <v>44853</v>
      </c>
      <c r="C1073" s="2" t="s">
        <v>727</v>
      </c>
      <c r="D1073" s="1" t="s">
        <v>9</v>
      </c>
      <c r="E1073" s="3">
        <f>483750+375504</f>
        <v>859254</v>
      </c>
      <c r="G1073" s="9">
        <f t="shared" si="20"/>
        <v>5102930</v>
      </c>
    </row>
    <row r="1074" spans="1:9" x14ac:dyDescent="0.2">
      <c r="A1074" s="12">
        <v>44853</v>
      </c>
      <c r="C1074" s="2" t="s">
        <v>728</v>
      </c>
      <c r="D1074" s="1" t="s">
        <v>9</v>
      </c>
      <c r="F1074" s="3">
        <f>3006723+84684</f>
        <v>3091407</v>
      </c>
      <c r="G1074" s="9">
        <f t="shared" ref="G1074:G1085" si="21">G1073+E1074-F1074</f>
        <v>2011523</v>
      </c>
    </row>
    <row r="1075" spans="1:9" x14ac:dyDescent="0.2">
      <c r="A1075" s="12">
        <v>44853</v>
      </c>
      <c r="C1075" s="2" t="s">
        <v>555</v>
      </c>
      <c r="D1075" s="1" t="s">
        <v>9</v>
      </c>
      <c r="E1075" s="3">
        <v>238832</v>
      </c>
      <c r="G1075" s="9">
        <f t="shared" si="21"/>
        <v>2250355</v>
      </c>
    </row>
    <row r="1076" spans="1:9" x14ac:dyDescent="0.2">
      <c r="A1076" s="12">
        <v>44853</v>
      </c>
      <c r="C1076" s="2" t="s">
        <v>61</v>
      </c>
      <c r="D1076" s="1" t="s">
        <v>9</v>
      </c>
      <c r="E1076" s="3">
        <v>1318142</v>
      </c>
      <c r="G1076" s="9">
        <f t="shared" si="21"/>
        <v>3568497</v>
      </c>
    </row>
    <row r="1077" spans="1:9" x14ac:dyDescent="0.2">
      <c r="A1077" s="12">
        <v>44858</v>
      </c>
      <c r="C1077" s="2" t="s">
        <v>729</v>
      </c>
      <c r="D1077" s="1" t="s">
        <v>9</v>
      </c>
      <c r="E1077" s="3">
        <f>1952059+62870+30680+190522+1325848</f>
        <v>3561979</v>
      </c>
      <c r="G1077" s="9">
        <f t="shared" si="21"/>
        <v>7130476</v>
      </c>
    </row>
    <row r="1078" spans="1:9" x14ac:dyDescent="0.2">
      <c r="A1078" s="12">
        <v>44858</v>
      </c>
      <c r="C1078" s="2" t="s">
        <v>730</v>
      </c>
      <c r="D1078" s="1" t="s">
        <v>9</v>
      </c>
      <c r="E1078" s="3">
        <v>1192803</v>
      </c>
      <c r="G1078" s="9">
        <f t="shared" si="21"/>
        <v>8323279</v>
      </c>
      <c r="I1078" s="24"/>
    </row>
    <row r="1079" spans="1:9" x14ac:dyDescent="0.2">
      <c r="A1079" s="12">
        <v>44860</v>
      </c>
      <c r="C1079" s="2" t="s">
        <v>731</v>
      </c>
      <c r="D1079" s="1" t="s">
        <v>9</v>
      </c>
      <c r="F1079" s="3">
        <f>6849257</f>
        <v>6849257</v>
      </c>
      <c r="G1079" s="9">
        <f t="shared" si="21"/>
        <v>1474022</v>
      </c>
      <c r="I1079" s="24"/>
    </row>
    <row r="1080" spans="1:9" x14ac:dyDescent="0.2">
      <c r="A1080" s="12">
        <v>44860</v>
      </c>
      <c r="C1080" s="2" t="s">
        <v>732</v>
      </c>
      <c r="D1080" s="1" t="s">
        <v>9</v>
      </c>
      <c r="E1080" s="3">
        <f>734550+106731+281218+2236690+120110+1311509+3510500</f>
        <v>8301308</v>
      </c>
      <c r="G1080" s="9">
        <f t="shared" si="21"/>
        <v>9775330</v>
      </c>
    </row>
    <row r="1081" spans="1:9" x14ac:dyDescent="0.2">
      <c r="A1081" s="12">
        <v>44865</v>
      </c>
      <c r="C1081" s="2" t="s">
        <v>735</v>
      </c>
      <c r="D1081" s="1" t="s">
        <v>9</v>
      </c>
      <c r="F1081" s="3">
        <v>2914209</v>
      </c>
      <c r="G1081" s="9">
        <f t="shared" si="21"/>
        <v>6861121</v>
      </c>
    </row>
    <row r="1082" spans="1:9" x14ac:dyDescent="0.2">
      <c r="A1082" s="12">
        <v>44865</v>
      </c>
      <c r="C1082" s="2" t="s">
        <v>34</v>
      </c>
      <c r="D1082" s="1" t="s">
        <v>9</v>
      </c>
      <c r="F1082" s="3">
        <v>825</v>
      </c>
      <c r="G1082" s="9">
        <f t="shared" si="21"/>
        <v>6860296</v>
      </c>
    </row>
    <row r="1083" spans="1:9" x14ac:dyDescent="0.2">
      <c r="A1083" s="12">
        <v>44865</v>
      </c>
      <c r="C1083" s="2" t="s">
        <v>737</v>
      </c>
      <c r="D1083" s="1" t="s">
        <v>9</v>
      </c>
      <c r="F1083" s="3">
        <v>59461</v>
      </c>
      <c r="G1083" s="9">
        <f t="shared" si="21"/>
        <v>6800835</v>
      </c>
      <c r="I1083" s="30"/>
    </row>
    <row r="1084" spans="1:9" x14ac:dyDescent="0.2">
      <c r="A1084" s="20">
        <v>44865</v>
      </c>
      <c r="B1084" s="21"/>
      <c r="C1084" s="22" t="s">
        <v>695</v>
      </c>
      <c r="D1084" s="21" t="s">
        <v>9</v>
      </c>
      <c r="E1084" s="23"/>
      <c r="F1084" s="23">
        <v>73687</v>
      </c>
      <c r="G1084" s="9">
        <f t="shared" si="21"/>
        <v>6727148</v>
      </c>
    </row>
    <row r="1085" spans="1:9" x14ac:dyDescent="0.2">
      <c r="A1085" s="12">
        <v>44865</v>
      </c>
      <c r="C1085" s="2" t="s">
        <v>498</v>
      </c>
      <c r="D1085" s="1" t="s">
        <v>9</v>
      </c>
      <c r="E1085" s="3">
        <v>470142</v>
      </c>
      <c r="G1085" s="24">
        <f t="shared" si="21"/>
        <v>7197290</v>
      </c>
    </row>
    <row r="1086" spans="1:9" ht="15.75" x14ac:dyDescent="0.25">
      <c r="A1086" s="10" t="s">
        <v>767</v>
      </c>
      <c r="G1086" s="8"/>
    </row>
    <row r="1087" spans="1:9" x14ac:dyDescent="0.2">
      <c r="A1087" s="11" t="s">
        <v>2</v>
      </c>
      <c r="B1087" s="5" t="s">
        <v>1</v>
      </c>
      <c r="C1087" s="5" t="s">
        <v>3</v>
      </c>
      <c r="D1087" s="5"/>
      <c r="E1087" s="7" t="s">
        <v>4</v>
      </c>
      <c r="F1087" s="7" t="s">
        <v>6</v>
      </c>
      <c r="G1087" s="8" t="s">
        <v>5</v>
      </c>
    </row>
    <row r="1088" spans="1:9" x14ac:dyDescent="0.2">
      <c r="A1088" s="12">
        <v>44866</v>
      </c>
      <c r="C1088" s="2" t="s">
        <v>736</v>
      </c>
      <c r="D1088" s="1" t="s">
        <v>9</v>
      </c>
      <c r="E1088" s="3">
        <f>217535+63838+232696+14844</f>
        <v>528913</v>
      </c>
      <c r="G1088" s="9">
        <f>G1085+E1088-F1088</f>
        <v>7726203</v>
      </c>
    </row>
    <row r="1089" spans="1:7" x14ac:dyDescent="0.2">
      <c r="A1089" s="12">
        <v>44867</v>
      </c>
      <c r="C1089" s="2" t="s">
        <v>738</v>
      </c>
      <c r="D1089" s="1" t="s">
        <v>9</v>
      </c>
      <c r="E1089" s="3">
        <f>1558797+424800+63650</f>
        <v>2047247</v>
      </c>
      <c r="G1089" s="9">
        <f>G1088+E1089-F1089</f>
        <v>9773450</v>
      </c>
    </row>
    <row r="1090" spans="1:7" x14ac:dyDescent="0.2">
      <c r="A1090" s="12">
        <v>44868</v>
      </c>
      <c r="B1090" s="25" t="s">
        <v>739</v>
      </c>
      <c r="C1090" s="2" t="s">
        <v>154</v>
      </c>
      <c r="D1090" s="1" t="s">
        <v>9</v>
      </c>
      <c r="F1090" s="3">
        <v>266615</v>
      </c>
      <c r="G1090" s="9">
        <f t="shared" ref="G1090:G1144" si="22">G1089+E1090-F1090</f>
        <v>9506835</v>
      </c>
    </row>
    <row r="1091" spans="1:7" x14ac:dyDescent="0.2">
      <c r="A1091" s="12">
        <v>44868</v>
      </c>
      <c r="C1091" s="2" t="s">
        <v>740</v>
      </c>
      <c r="D1091" s="1" t="s">
        <v>9</v>
      </c>
      <c r="E1091" s="3">
        <f>205698+71366+10266+510326+1583331+360476</f>
        <v>2741463</v>
      </c>
      <c r="G1091" s="9">
        <f t="shared" si="22"/>
        <v>12248298</v>
      </c>
    </row>
    <row r="1092" spans="1:7" x14ac:dyDescent="0.2">
      <c r="A1092" s="12">
        <v>44868</v>
      </c>
      <c r="B1092" s="1" t="s">
        <v>741</v>
      </c>
      <c r="C1092" s="2" t="s">
        <v>743</v>
      </c>
      <c r="D1092" s="1" t="s">
        <v>9</v>
      </c>
      <c r="F1092" s="3">
        <v>375000</v>
      </c>
      <c r="G1092" s="9">
        <f t="shared" si="22"/>
        <v>11873298</v>
      </c>
    </row>
    <row r="1093" spans="1:7" x14ac:dyDescent="0.2">
      <c r="A1093" s="12">
        <v>44868</v>
      </c>
      <c r="B1093" s="1" t="s">
        <v>742</v>
      </c>
      <c r="C1093" s="2" t="s">
        <v>744</v>
      </c>
      <c r="D1093" s="1" t="s">
        <v>9</v>
      </c>
      <c r="F1093" s="3">
        <v>228000</v>
      </c>
      <c r="G1093" s="9">
        <f t="shared" si="22"/>
        <v>11645298</v>
      </c>
    </row>
    <row r="1094" spans="1:7" x14ac:dyDescent="0.2">
      <c r="A1094" s="12">
        <v>44869</v>
      </c>
      <c r="C1094" s="2" t="s">
        <v>745</v>
      </c>
      <c r="D1094" s="1" t="s">
        <v>9</v>
      </c>
      <c r="F1094" s="3">
        <f>6898201+161540</f>
        <v>7059741</v>
      </c>
      <c r="G1094" s="9">
        <f t="shared" si="22"/>
        <v>4585557</v>
      </c>
    </row>
    <row r="1095" spans="1:7" x14ac:dyDescent="0.2">
      <c r="A1095" s="12">
        <v>44869</v>
      </c>
      <c r="C1095" s="2" t="s">
        <v>84</v>
      </c>
      <c r="D1095" s="1" t="s">
        <v>9</v>
      </c>
      <c r="F1095" s="3">
        <v>185185</v>
      </c>
      <c r="G1095" s="9">
        <f t="shared" si="22"/>
        <v>4400372</v>
      </c>
    </row>
    <row r="1096" spans="1:7" x14ac:dyDescent="0.2">
      <c r="A1096" s="12">
        <v>44869</v>
      </c>
      <c r="C1096" s="2" t="s">
        <v>258</v>
      </c>
      <c r="D1096" s="1" t="s">
        <v>9</v>
      </c>
      <c r="E1096" s="3">
        <v>51000</v>
      </c>
      <c r="G1096" s="9">
        <f t="shared" si="22"/>
        <v>4451372</v>
      </c>
    </row>
    <row r="1097" spans="1:7" x14ac:dyDescent="0.2">
      <c r="A1097" s="12">
        <v>44869</v>
      </c>
      <c r="C1097" s="2" t="s">
        <v>753</v>
      </c>
      <c r="D1097" s="1" t="s">
        <v>9</v>
      </c>
      <c r="F1097" s="3">
        <f>217535</f>
        <v>217535</v>
      </c>
      <c r="G1097" s="9">
        <f t="shared" si="22"/>
        <v>4233837</v>
      </c>
    </row>
    <row r="1098" spans="1:7" x14ac:dyDescent="0.2">
      <c r="A1098" s="12">
        <v>44869</v>
      </c>
      <c r="C1098" s="2" t="s">
        <v>751</v>
      </c>
      <c r="D1098" s="1" t="s">
        <v>9</v>
      </c>
      <c r="F1098" s="3">
        <v>6600</v>
      </c>
      <c r="G1098" s="9">
        <f t="shared" si="22"/>
        <v>4227237</v>
      </c>
    </row>
    <row r="1099" spans="1:7" x14ac:dyDescent="0.2">
      <c r="A1099" s="12">
        <v>44872</v>
      </c>
      <c r="C1099" s="2" t="s">
        <v>752</v>
      </c>
      <c r="D1099" s="1" t="s">
        <v>9</v>
      </c>
      <c r="F1099" s="3">
        <f>1558797</f>
        <v>1558797</v>
      </c>
      <c r="G1099" s="9">
        <f t="shared" si="22"/>
        <v>2668440</v>
      </c>
    </row>
    <row r="1100" spans="1:7" x14ac:dyDescent="0.2">
      <c r="A1100" s="12">
        <v>44872</v>
      </c>
      <c r="C1100" s="2" t="s">
        <v>750</v>
      </c>
      <c r="D1100" s="1" t="s">
        <v>9</v>
      </c>
      <c r="F1100" s="3">
        <v>6600</v>
      </c>
      <c r="G1100" s="9">
        <f t="shared" si="22"/>
        <v>2661840</v>
      </c>
    </row>
    <row r="1101" spans="1:7" x14ac:dyDescent="0.2">
      <c r="A1101" s="12">
        <v>44873</v>
      </c>
      <c r="C1101" s="2" t="s">
        <v>755</v>
      </c>
      <c r="D1101" s="1" t="s">
        <v>9</v>
      </c>
      <c r="E1101" s="3">
        <f>852012+44505+327450</f>
        <v>1223967</v>
      </c>
      <c r="G1101" s="9">
        <f t="shared" si="22"/>
        <v>3885807</v>
      </c>
    </row>
    <row r="1102" spans="1:7" x14ac:dyDescent="0.2">
      <c r="A1102" s="12">
        <v>44873</v>
      </c>
      <c r="C1102" s="2" t="s">
        <v>756</v>
      </c>
      <c r="D1102" s="1" t="s">
        <v>9</v>
      </c>
      <c r="E1102" s="3">
        <v>1299652</v>
      </c>
      <c r="G1102" s="9">
        <f t="shared" si="22"/>
        <v>5185459</v>
      </c>
    </row>
    <row r="1103" spans="1:7" x14ac:dyDescent="0.2">
      <c r="A1103" s="12">
        <v>44873</v>
      </c>
      <c r="C1103" s="2" t="s">
        <v>137</v>
      </c>
      <c r="D1103" s="1" t="s">
        <v>9</v>
      </c>
      <c r="E1103" s="3">
        <v>482343</v>
      </c>
      <c r="G1103" s="9">
        <f t="shared" si="22"/>
        <v>5667802</v>
      </c>
    </row>
    <row r="1104" spans="1:7" x14ac:dyDescent="0.2">
      <c r="A1104" s="12">
        <v>44873</v>
      </c>
      <c r="C1104" s="2" t="s">
        <v>440</v>
      </c>
      <c r="D1104" s="1" t="s">
        <v>9</v>
      </c>
      <c r="E1104" s="3">
        <v>31639</v>
      </c>
      <c r="G1104" s="9">
        <f t="shared" si="22"/>
        <v>5699441</v>
      </c>
    </row>
    <row r="1105" spans="1:7" x14ac:dyDescent="0.2">
      <c r="A1105" s="12">
        <v>44873</v>
      </c>
      <c r="C1105" s="2" t="s">
        <v>505</v>
      </c>
      <c r="D1105" s="1" t="s">
        <v>9</v>
      </c>
      <c r="E1105" s="3">
        <v>156600</v>
      </c>
      <c r="G1105" s="9">
        <f t="shared" si="22"/>
        <v>5856041</v>
      </c>
    </row>
    <row r="1106" spans="1:7" x14ac:dyDescent="0.2">
      <c r="A1106" s="12">
        <v>44875</v>
      </c>
      <c r="C1106" s="2" t="s">
        <v>603</v>
      </c>
      <c r="D1106" s="1" t="s">
        <v>9</v>
      </c>
      <c r="F1106" s="3">
        <f>137466+275</f>
        <v>137741</v>
      </c>
      <c r="G1106" s="9">
        <f t="shared" si="22"/>
        <v>5718300</v>
      </c>
    </row>
    <row r="1107" spans="1:7" x14ac:dyDescent="0.2">
      <c r="A1107" s="12">
        <v>44875</v>
      </c>
      <c r="C1107" s="2" t="s">
        <v>746</v>
      </c>
      <c r="D1107" s="1" t="s">
        <v>9</v>
      </c>
      <c r="F1107" s="3">
        <f>542800+275</f>
        <v>543075</v>
      </c>
      <c r="G1107" s="9">
        <f t="shared" si="22"/>
        <v>5175225</v>
      </c>
    </row>
    <row r="1108" spans="1:7" x14ac:dyDescent="0.2">
      <c r="A1108" s="12">
        <v>44875</v>
      </c>
      <c r="C1108" s="2" t="s">
        <v>747</v>
      </c>
      <c r="D1108" s="1" t="s">
        <v>9</v>
      </c>
      <c r="F1108" s="3">
        <f>319549+275</f>
        <v>319824</v>
      </c>
      <c r="G1108" s="9">
        <f t="shared" si="22"/>
        <v>4855401</v>
      </c>
    </row>
    <row r="1109" spans="1:7" x14ac:dyDescent="0.2">
      <c r="A1109" s="12">
        <v>44875</v>
      </c>
      <c r="C1109" s="2" t="s">
        <v>748</v>
      </c>
      <c r="D1109" s="1" t="s">
        <v>9</v>
      </c>
      <c r="F1109" s="3">
        <f>1299278+275</f>
        <v>1299553</v>
      </c>
      <c r="G1109" s="9">
        <f t="shared" si="22"/>
        <v>3555848</v>
      </c>
    </row>
    <row r="1110" spans="1:7" x14ac:dyDescent="0.2">
      <c r="A1110" s="12">
        <v>44875</v>
      </c>
      <c r="C1110" s="2" t="s">
        <v>706</v>
      </c>
      <c r="D1110" s="1" t="s">
        <v>9</v>
      </c>
      <c r="F1110" s="3">
        <f>750000</f>
        <v>750000</v>
      </c>
      <c r="G1110" s="9">
        <f t="shared" si="22"/>
        <v>2805848</v>
      </c>
    </row>
    <row r="1111" spans="1:7" x14ac:dyDescent="0.2">
      <c r="A1111" s="12">
        <v>44875</v>
      </c>
      <c r="C1111" s="2" t="s">
        <v>749</v>
      </c>
      <c r="D1111" s="1" t="s">
        <v>9</v>
      </c>
      <c r="F1111" s="3">
        <f>170000</f>
        <v>170000</v>
      </c>
      <c r="G1111" s="9">
        <f t="shared" si="22"/>
        <v>2635848</v>
      </c>
    </row>
    <row r="1112" spans="1:7" x14ac:dyDescent="0.2">
      <c r="A1112" s="12">
        <v>44875</v>
      </c>
      <c r="B1112" s="1" t="s">
        <v>757</v>
      </c>
      <c r="C1112" s="2" t="s">
        <v>754</v>
      </c>
      <c r="D1112" s="1" t="s">
        <v>9</v>
      </c>
      <c r="F1112" s="3">
        <v>480800</v>
      </c>
      <c r="G1112" s="9">
        <f t="shared" si="22"/>
        <v>2155048</v>
      </c>
    </row>
    <row r="1113" spans="1:7" x14ac:dyDescent="0.2">
      <c r="A1113" s="12">
        <v>44875</v>
      </c>
      <c r="B1113" s="1" t="s">
        <v>758</v>
      </c>
      <c r="C1113" s="2" t="s">
        <v>700</v>
      </c>
      <c r="D1113" s="1" t="s">
        <v>9</v>
      </c>
      <c r="F1113" s="3">
        <v>165000</v>
      </c>
      <c r="G1113" s="9">
        <f t="shared" si="22"/>
        <v>1990048</v>
      </c>
    </row>
    <row r="1114" spans="1:7" x14ac:dyDescent="0.2">
      <c r="A1114" s="12">
        <v>44875</v>
      </c>
      <c r="C1114" s="2" t="s">
        <v>759</v>
      </c>
      <c r="D1114" s="1" t="s">
        <v>9</v>
      </c>
      <c r="E1114" s="3">
        <f>738059+21712+16520</f>
        <v>776291</v>
      </c>
      <c r="G1114" s="9">
        <f t="shared" si="22"/>
        <v>2766339</v>
      </c>
    </row>
    <row r="1115" spans="1:7" x14ac:dyDescent="0.2">
      <c r="A1115" s="12">
        <v>44875</v>
      </c>
      <c r="C1115" s="2" t="s">
        <v>105</v>
      </c>
      <c r="D1115" s="1" t="s">
        <v>9</v>
      </c>
      <c r="E1115" s="3">
        <v>1558797</v>
      </c>
      <c r="G1115" s="9">
        <f t="shared" si="22"/>
        <v>4325136</v>
      </c>
    </row>
    <row r="1116" spans="1:7" x14ac:dyDescent="0.2">
      <c r="A1116" s="12">
        <v>44875</v>
      </c>
      <c r="C1116" s="2" t="s">
        <v>696</v>
      </c>
      <c r="D1116" s="1" t="s">
        <v>9</v>
      </c>
      <c r="E1116" s="3">
        <v>870403</v>
      </c>
      <c r="G1116" s="9">
        <f t="shared" si="22"/>
        <v>5195539</v>
      </c>
    </row>
    <row r="1117" spans="1:7" x14ac:dyDescent="0.2">
      <c r="A1117" s="12">
        <v>44876</v>
      </c>
      <c r="C1117" s="2" t="s">
        <v>258</v>
      </c>
      <c r="D1117" s="1" t="s">
        <v>9</v>
      </c>
      <c r="E1117" s="3">
        <v>68646</v>
      </c>
      <c r="G1117" s="9">
        <f t="shared" si="22"/>
        <v>5264185</v>
      </c>
    </row>
    <row r="1118" spans="1:7" x14ac:dyDescent="0.2">
      <c r="A1118" s="12">
        <v>44876</v>
      </c>
      <c r="C1118" s="2" t="s">
        <v>35</v>
      </c>
      <c r="D1118" s="1" t="s">
        <v>9</v>
      </c>
      <c r="F1118" s="3">
        <v>6600</v>
      </c>
      <c r="G1118" s="9">
        <f t="shared" si="22"/>
        <v>5257585</v>
      </c>
    </row>
    <row r="1119" spans="1:7" x14ac:dyDescent="0.2">
      <c r="A1119" s="12">
        <v>44876</v>
      </c>
      <c r="C1119" s="2" t="s">
        <v>701</v>
      </c>
      <c r="D1119" s="1" t="s">
        <v>9</v>
      </c>
      <c r="E1119" s="3">
        <v>291372</v>
      </c>
      <c r="G1119" s="9">
        <f t="shared" si="22"/>
        <v>5548957</v>
      </c>
    </row>
    <row r="1120" spans="1:7" x14ac:dyDescent="0.2">
      <c r="A1120" s="12">
        <v>44879</v>
      </c>
      <c r="C1120" s="2" t="s">
        <v>760</v>
      </c>
      <c r="D1120" s="1" t="s">
        <v>9</v>
      </c>
      <c r="E1120" s="3">
        <f>291382+364490+211609</f>
        <v>867481</v>
      </c>
      <c r="G1120" s="9">
        <f t="shared" si="22"/>
        <v>6416438</v>
      </c>
    </row>
    <row r="1121" spans="1:9" x14ac:dyDescent="0.2">
      <c r="A1121" s="12">
        <v>44879</v>
      </c>
      <c r="C1121" s="2" t="s">
        <v>761</v>
      </c>
      <c r="D1121" s="1" t="s">
        <v>9</v>
      </c>
      <c r="E1121" s="3">
        <v>224135</v>
      </c>
      <c r="G1121" s="9">
        <f t="shared" si="22"/>
        <v>6640573</v>
      </c>
    </row>
    <row r="1122" spans="1:9" x14ac:dyDescent="0.2">
      <c r="A1122" s="12">
        <v>44879</v>
      </c>
      <c r="C1122" s="2" t="s">
        <v>137</v>
      </c>
      <c r="D1122" s="1" t="s">
        <v>9</v>
      </c>
      <c r="E1122" s="3">
        <v>428281</v>
      </c>
      <c r="G1122" s="9">
        <f t="shared" si="22"/>
        <v>7068854</v>
      </c>
    </row>
    <row r="1123" spans="1:9" x14ac:dyDescent="0.2">
      <c r="A1123" s="12">
        <v>44879</v>
      </c>
      <c r="C1123" s="2" t="s">
        <v>667</v>
      </c>
      <c r="D1123" s="1" t="s">
        <v>9</v>
      </c>
      <c r="F1123" s="3">
        <v>4400</v>
      </c>
      <c r="G1123" s="9">
        <f t="shared" si="22"/>
        <v>7064454</v>
      </c>
    </row>
    <row r="1124" spans="1:9" x14ac:dyDescent="0.2">
      <c r="A1124" s="12">
        <v>44881</v>
      </c>
      <c r="C1124" s="2" t="s">
        <v>505</v>
      </c>
      <c r="D1124" s="1" t="s">
        <v>9</v>
      </c>
      <c r="E1124" s="3">
        <v>213890</v>
      </c>
      <c r="G1124" s="9">
        <f t="shared" si="22"/>
        <v>7278344</v>
      </c>
    </row>
    <row r="1125" spans="1:9" x14ac:dyDescent="0.2">
      <c r="A1125" s="12">
        <v>44882</v>
      </c>
      <c r="C1125" s="2" t="s">
        <v>762</v>
      </c>
      <c r="D1125" s="1" t="s">
        <v>9</v>
      </c>
      <c r="F1125" s="3">
        <v>2961646</v>
      </c>
      <c r="G1125" s="9">
        <f t="shared" si="22"/>
        <v>4316698</v>
      </c>
    </row>
    <row r="1126" spans="1:9" x14ac:dyDescent="0.2">
      <c r="A1126" s="12">
        <v>44882</v>
      </c>
      <c r="C1126" s="2" t="s">
        <v>497</v>
      </c>
      <c r="D1126" s="1" t="s">
        <v>9</v>
      </c>
      <c r="E1126" s="3">
        <v>76110</v>
      </c>
      <c r="G1126" s="9">
        <f t="shared" si="22"/>
        <v>4392808</v>
      </c>
    </row>
    <row r="1127" spans="1:9" x14ac:dyDescent="0.2">
      <c r="A1127" s="12">
        <v>44882</v>
      </c>
      <c r="C1127" s="2" t="s">
        <v>35</v>
      </c>
      <c r="D1127" s="1" t="s">
        <v>9</v>
      </c>
      <c r="F1127" s="3">
        <v>6600</v>
      </c>
      <c r="G1127" s="9">
        <f t="shared" si="22"/>
        <v>4386208</v>
      </c>
    </row>
    <row r="1128" spans="1:9" x14ac:dyDescent="0.2">
      <c r="A1128" s="12">
        <v>44883</v>
      </c>
      <c r="C1128" s="2" t="s">
        <v>137</v>
      </c>
      <c r="D1128" s="1" t="s">
        <v>9</v>
      </c>
      <c r="E1128" s="3">
        <v>468401</v>
      </c>
      <c r="G1128" s="9">
        <f t="shared" si="22"/>
        <v>4854609</v>
      </c>
    </row>
    <row r="1129" spans="1:9" x14ac:dyDescent="0.2">
      <c r="A1129" s="12">
        <v>44883</v>
      </c>
      <c r="C1129" s="2" t="s">
        <v>763</v>
      </c>
      <c r="D1129" s="1" t="s">
        <v>9</v>
      </c>
      <c r="E1129" s="3">
        <f>555039+40120+128714+140420+159477+19352+77408+40781+87320</f>
        <v>1248631</v>
      </c>
      <c r="G1129" s="9">
        <f t="shared" si="22"/>
        <v>6103240</v>
      </c>
    </row>
    <row r="1130" spans="1:9" x14ac:dyDescent="0.2">
      <c r="A1130" s="12">
        <v>44886</v>
      </c>
      <c r="C1130" s="2" t="s">
        <v>764</v>
      </c>
      <c r="D1130" s="1" t="s">
        <v>9</v>
      </c>
      <c r="F1130" s="3">
        <f>1891023</f>
        <v>1891023</v>
      </c>
      <c r="G1130" s="9">
        <f t="shared" si="22"/>
        <v>4212217</v>
      </c>
    </row>
    <row r="1131" spans="1:9" x14ac:dyDescent="0.2">
      <c r="A1131" s="12">
        <v>44887</v>
      </c>
      <c r="C1131" s="2" t="s">
        <v>765</v>
      </c>
      <c r="D1131" s="1" t="s">
        <v>9</v>
      </c>
      <c r="F1131" s="3">
        <f>2121448</f>
        <v>2121448</v>
      </c>
      <c r="G1131" s="9">
        <f t="shared" si="22"/>
        <v>2090769</v>
      </c>
    </row>
    <row r="1132" spans="1:9" x14ac:dyDescent="0.2">
      <c r="A1132" s="20">
        <v>44887</v>
      </c>
      <c r="B1132" s="21" t="s">
        <v>766</v>
      </c>
      <c r="C1132" s="22" t="s">
        <v>724</v>
      </c>
      <c r="D1132" s="21" t="s">
        <v>9</v>
      </c>
      <c r="E1132" s="23"/>
      <c r="F1132" s="23">
        <v>600000</v>
      </c>
      <c r="G1132" s="9">
        <f t="shared" si="22"/>
        <v>1490769</v>
      </c>
    </row>
    <row r="1133" spans="1:9" x14ac:dyDescent="0.2">
      <c r="A1133" s="12">
        <v>44887</v>
      </c>
      <c r="C1133" s="2" t="s">
        <v>137</v>
      </c>
      <c r="D1133" s="1" t="s">
        <v>9</v>
      </c>
      <c r="E1133" s="3">
        <v>116750</v>
      </c>
      <c r="G1133" s="9">
        <f t="shared" si="22"/>
        <v>1607519</v>
      </c>
    </row>
    <row r="1134" spans="1:9" x14ac:dyDescent="0.2">
      <c r="A1134" s="20">
        <v>44887</v>
      </c>
      <c r="B1134" s="21"/>
      <c r="C1134" s="22" t="s">
        <v>770</v>
      </c>
      <c r="D1134" s="21" t="s">
        <v>9</v>
      </c>
      <c r="E1134" s="23">
        <f>256168+13541+539380+84252+334742+30000</f>
        <v>1258083</v>
      </c>
      <c r="F1134" s="23"/>
      <c r="G1134" s="9">
        <f t="shared" si="22"/>
        <v>2865602</v>
      </c>
    </row>
    <row r="1135" spans="1:9" x14ac:dyDescent="0.2">
      <c r="A1135" s="12">
        <v>44887</v>
      </c>
      <c r="C1135" s="2" t="s">
        <v>555</v>
      </c>
      <c r="D1135" s="1" t="s">
        <v>9</v>
      </c>
      <c r="E1135" s="3">
        <v>33984</v>
      </c>
      <c r="G1135" s="9">
        <f t="shared" si="22"/>
        <v>2899586</v>
      </c>
      <c r="I1135" s="24"/>
    </row>
    <row r="1136" spans="1:9" x14ac:dyDescent="0.2">
      <c r="A1136" s="12">
        <v>44888</v>
      </c>
      <c r="C1136" s="2" t="s">
        <v>769</v>
      </c>
      <c r="D1136" s="1" t="s">
        <v>9</v>
      </c>
      <c r="E1136" s="3">
        <f>276400+337392+106284+527826</f>
        <v>1247902</v>
      </c>
      <c r="G1136" s="9">
        <f t="shared" si="22"/>
        <v>4147488</v>
      </c>
    </row>
    <row r="1137" spans="1:9" x14ac:dyDescent="0.2">
      <c r="A1137" s="12">
        <v>44889</v>
      </c>
      <c r="C1137" s="2" t="s">
        <v>505</v>
      </c>
      <c r="D1137" s="1" t="s">
        <v>9</v>
      </c>
      <c r="E1137" s="3">
        <v>219300</v>
      </c>
      <c r="G1137" s="9">
        <f t="shared" si="22"/>
        <v>4366788</v>
      </c>
    </row>
    <row r="1138" spans="1:9" x14ac:dyDescent="0.2">
      <c r="A1138" s="12">
        <v>44893</v>
      </c>
      <c r="C1138" s="2" t="s">
        <v>771</v>
      </c>
      <c r="D1138" s="1" t="s">
        <v>9</v>
      </c>
      <c r="E1138" s="3">
        <f>20355+35117+48254+107085+35400+183196+1412176+117628+561117</f>
        <v>2520328</v>
      </c>
      <c r="G1138" s="9">
        <f t="shared" si="22"/>
        <v>6887116</v>
      </c>
    </row>
    <row r="1139" spans="1:9" x14ac:dyDescent="0.2">
      <c r="A1139" s="12">
        <v>44894</v>
      </c>
      <c r="C1139" s="2" t="s">
        <v>768</v>
      </c>
      <c r="D1139" s="1" t="s">
        <v>9</v>
      </c>
      <c r="F1139" s="3">
        <v>3046856</v>
      </c>
      <c r="G1139" s="9">
        <f t="shared" si="22"/>
        <v>3840260</v>
      </c>
    </row>
    <row r="1140" spans="1:9" x14ac:dyDescent="0.2">
      <c r="A1140" s="12">
        <v>44894</v>
      </c>
      <c r="C1140" s="2" t="s">
        <v>34</v>
      </c>
      <c r="D1140" s="1" t="s">
        <v>9</v>
      </c>
      <c r="F1140" s="3">
        <v>825</v>
      </c>
      <c r="G1140" s="9">
        <f t="shared" si="22"/>
        <v>3839435</v>
      </c>
    </row>
    <row r="1141" spans="1:9" x14ac:dyDescent="0.2">
      <c r="A1141" s="12">
        <v>44894</v>
      </c>
      <c r="C1141" s="2" t="s">
        <v>137</v>
      </c>
      <c r="D1141" s="1" t="s">
        <v>9</v>
      </c>
      <c r="E1141" s="3">
        <v>489827</v>
      </c>
      <c r="G1141" s="9">
        <f t="shared" si="22"/>
        <v>4329262</v>
      </c>
      <c r="I1141" s="24"/>
    </row>
    <row r="1142" spans="1:9" x14ac:dyDescent="0.2">
      <c r="A1142" s="12">
        <v>44895</v>
      </c>
      <c r="C1142" s="2" t="s">
        <v>978</v>
      </c>
      <c r="D1142" s="1" t="s">
        <v>9</v>
      </c>
      <c r="F1142" s="3">
        <v>47174</v>
      </c>
      <c r="G1142" s="9">
        <f t="shared" si="22"/>
        <v>4282088</v>
      </c>
      <c r="I1142" s="24"/>
    </row>
    <row r="1143" spans="1:9" x14ac:dyDescent="0.2">
      <c r="A1143" s="12">
        <v>44895</v>
      </c>
      <c r="C1143" s="2" t="s">
        <v>701</v>
      </c>
      <c r="D1143" s="1" t="s">
        <v>9</v>
      </c>
      <c r="E1143" s="3">
        <v>832520</v>
      </c>
      <c r="G1143" s="9">
        <f t="shared" si="22"/>
        <v>5114608</v>
      </c>
    </row>
    <row r="1144" spans="1:9" x14ac:dyDescent="0.2">
      <c r="A1144" s="12">
        <v>44895</v>
      </c>
      <c r="C1144" s="2" t="s">
        <v>35</v>
      </c>
      <c r="D1144" s="1" t="s">
        <v>9</v>
      </c>
      <c r="F1144" s="3">
        <v>6600</v>
      </c>
      <c r="G1144" s="24">
        <f t="shared" si="22"/>
        <v>5108008</v>
      </c>
    </row>
    <row r="1145" spans="1:9" ht="15.75" x14ac:dyDescent="0.25">
      <c r="A1145" s="10" t="s">
        <v>773</v>
      </c>
      <c r="G1145" s="8"/>
    </row>
    <row r="1146" spans="1:9" x14ac:dyDescent="0.2">
      <c r="A1146" s="11" t="s">
        <v>2</v>
      </c>
      <c r="B1146" s="5" t="s">
        <v>1</v>
      </c>
      <c r="C1146" s="5" t="s">
        <v>3</v>
      </c>
      <c r="D1146" s="5"/>
      <c r="E1146" s="7" t="s">
        <v>4</v>
      </c>
      <c r="F1146" s="7" t="s">
        <v>6</v>
      </c>
      <c r="G1146" s="8" t="s">
        <v>5</v>
      </c>
    </row>
    <row r="1147" spans="1:9" x14ac:dyDescent="0.2">
      <c r="A1147" s="12">
        <v>44896</v>
      </c>
      <c r="C1147" s="2" t="s">
        <v>61</v>
      </c>
      <c r="D1147" s="1" t="s">
        <v>9</v>
      </c>
      <c r="E1147" s="3">
        <v>3098018</v>
      </c>
      <c r="G1147" s="9">
        <f>G1144+E1147-F1147</f>
        <v>8206026</v>
      </c>
      <c r="I1147" s="24"/>
    </row>
    <row r="1148" spans="1:9" x14ac:dyDescent="0.2">
      <c r="A1148" s="12">
        <v>44896</v>
      </c>
      <c r="C1148" s="2" t="s">
        <v>772</v>
      </c>
      <c r="D1148" s="1" t="s">
        <v>9</v>
      </c>
      <c r="E1148" s="3">
        <f>712000+147264+519596</f>
        <v>1378860</v>
      </c>
      <c r="G1148" s="9">
        <f>G1147+E1148-F1148</f>
        <v>9584886</v>
      </c>
      <c r="I1148" s="24"/>
    </row>
    <row r="1149" spans="1:9" x14ac:dyDescent="0.2">
      <c r="A1149" s="12">
        <v>44897</v>
      </c>
      <c r="C1149" s="2" t="s">
        <v>84</v>
      </c>
      <c r="D1149" s="1" t="s">
        <v>9</v>
      </c>
      <c r="F1149" s="3">
        <v>185185</v>
      </c>
      <c r="G1149" s="9">
        <f t="shared" ref="G1149:G1205" si="23">G1148+E1149-F1149</f>
        <v>9399701</v>
      </c>
    </row>
    <row r="1150" spans="1:9" x14ac:dyDescent="0.2">
      <c r="A1150" s="12">
        <v>44897</v>
      </c>
      <c r="C1150" s="2" t="s">
        <v>780</v>
      </c>
      <c r="D1150" s="1" t="s">
        <v>9</v>
      </c>
      <c r="E1150" s="3">
        <v>435520</v>
      </c>
      <c r="G1150" s="9">
        <f t="shared" si="23"/>
        <v>9835221</v>
      </c>
    </row>
    <row r="1151" spans="1:9" x14ac:dyDescent="0.2">
      <c r="A1151" s="12">
        <v>44897</v>
      </c>
      <c r="B1151" s="21" t="s">
        <v>774</v>
      </c>
      <c r="C1151" s="2" t="s">
        <v>777</v>
      </c>
      <c r="D1151" s="1" t="s">
        <v>9</v>
      </c>
      <c r="F1151" s="3">
        <v>335000</v>
      </c>
      <c r="G1151" s="9">
        <f t="shared" si="23"/>
        <v>9500221</v>
      </c>
    </row>
    <row r="1152" spans="1:9" x14ac:dyDescent="0.2">
      <c r="A1152" s="12">
        <v>44897</v>
      </c>
      <c r="B1152" s="21" t="s">
        <v>775</v>
      </c>
      <c r="C1152" s="2" t="s">
        <v>776</v>
      </c>
      <c r="D1152" s="1" t="s">
        <v>9</v>
      </c>
      <c r="F1152" s="3">
        <v>120000</v>
      </c>
      <c r="G1152" s="9">
        <f t="shared" si="23"/>
        <v>9380221</v>
      </c>
    </row>
    <row r="1153" spans="1:7" x14ac:dyDescent="0.2">
      <c r="A1153" s="12">
        <v>44900</v>
      </c>
      <c r="C1153" s="2" t="s">
        <v>778</v>
      </c>
      <c r="D1153" s="1" t="s">
        <v>9</v>
      </c>
      <c r="E1153" s="3">
        <f>533760+59236+398428+342720+689859</f>
        <v>2024003</v>
      </c>
      <c r="G1153" s="9">
        <f t="shared" si="23"/>
        <v>11404224</v>
      </c>
    </row>
    <row r="1154" spans="1:7" x14ac:dyDescent="0.2">
      <c r="A1154" s="12">
        <v>44900</v>
      </c>
      <c r="C1154" s="2" t="s">
        <v>779</v>
      </c>
      <c r="D1154" s="1" t="s">
        <v>9</v>
      </c>
      <c r="F1154" s="3">
        <f>7634237+176077</f>
        <v>7810314</v>
      </c>
      <c r="G1154" s="9">
        <f t="shared" si="23"/>
        <v>3593910</v>
      </c>
    </row>
    <row r="1155" spans="1:7" x14ac:dyDescent="0.2">
      <c r="A1155" s="12">
        <v>44901</v>
      </c>
      <c r="C1155" s="2" t="s">
        <v>505</v>
      </c>
      <c r="D1155" s="1" t="s">
        <v>9</v>
      </c>
      <c r="E1155" s="3">
        <v>41650</v>
      </c>
      <c r="G1155" s="9">
        <f t="shared" si="23"/>
        <v>3635560</v>
      </c>
    </row>
    <row r="1156" spans="1:7" x14ac:dyDescent="0.2">
      <c r="A1156" s="12">
        <v>44902</v>
      </c>
      <c r="C1156" s="2" t="s">
        <v>781</v>
      </c>
      <c r="D1156" s="1" t="s">
        <v>9</v>
      </c>
      <c r="F1156" s="3">
        <f>2079691</f>
        <v>2079691</v>
      </c>
      <c r="G1156" s="9">
        <f t="shared" si="23"/>
        <v>1555869</v>
      </c>
    </row>
    <row r="1157" spans="1:7" x14ac:dyDescent="0.2">
      <c r="A1157" s="12">
        <v>44902</v>
      </c>
      <c r="C1157" s="2" t="s">
        <v>782</v>
      </c>
      <c r="D1157" s="1" t="s">
        <v>9</v>
      </c>
      <c r="F1157" s="3">
        <f>2486836</f>
        <v>2486836</v>
      </c>
      <c r="G1157" s="9">
        <f t="shared" si="23"/>
        <v>-930967</v>
      </c>
    </row>
    <row r="1158" spans="1:7" x14ac:dyDescent="0.2">
      <c r="A1158" s="12">
        <v>44902</v>
      </c>
      <c r="C1158" s="2" t="s">
        <v>783</v>
      </c>
      <c r="D1158" s="1" t="s">
        <v>9</v>
      </c>
      <c r="E1158" s="3">
        <v>2140813</v>
      </c>
      <c r="G1158" s="9">
        <f t="shared" si="23"/>
        <v>1209846</v>
      </c>
    </row>
    <row r="1159" spans="1:7" x14ac:dyDescent="0.2">
      <c r="A1159" s="12">
        <v>44903</v>
      </c>
      <c r="B1159" s="21" t="s">
        <v>784</v>
      </c>
      <c r="C1159" s="22" t="s">
        <v>724</v>
      </c>
      <c r="D1159" s="1" t="s">
        <v>9</v>
      </c>
      <c r="F1159" s="3">
        <v>600000</v>
      </c>
      <c r="G1159" s="9">
        <f t="shared" si="23"/>
        <v>609846</v>
      </c>
    </row>
    <row r="1160" spans="1:7" x14ac:dyDescent="0.2">
      <c r="A1160" s="12">
        <v>44903</v>
      </c>
      <c r="B1160" s="21" t="s">
        <v>785</v>
      </c>
      <c r="C1160" s="2" t="s">
        <v>700</v>
      </c>
      <c r="D1160" s="1" t="s">
        <v>9</v>
      </c>
      <c r="F1160" s="3">
        <v>165000</v>
      </c>
      <c r="G1160" s="9">
        <f t="shared" si="23"/>
        <v>444846</v>
      </c>
    </row>
    <row r="1161" spans="1:7" x14ac:dyDescent="0.2">
      <c r="A1161" s="12">
        <v>44903</v>
      </c>
      <c r="C1161" s="2" t="s">
        <v>786</v>
      </c>
      <c r="D1161" s="1" t="s">
        <v>9</v>
      </c>
      <c r="E1161" s="3">
        <f>223372+2770640+511648</f>
        <v>3505660</v>
      </c>
      <c r="G1161" s="9">
        <f t="shared" si="23"/>
        <v>3950506</v>
      </c>
    </row>
    <row r="1162" spans="1:7" x14ac:dyDescent="0.2">
      <c r="A1162" s="12">
        <v>44903</v>
      </c>
      <c r="C1162" s="2" t="s">
        <v>165</v>
      </c>
      <c r="D1162" s="1" t="s">
        <v>9</v>
      </c>
      <c r="E1162" s="3">
        <v>37600</v>
      </c>
      <c r="G1162" s="9">
        <f t="shared" si="23"/>
        <v>3988106</v>
      </c>
    </row>
    <row r="1163" spans="1:7" x14ac:dyDescent="0.2">
      <c r="A1163" s="12">
        <v>44904</v>
      </c>
      <c r="C1163" s="2" t="s">
        <v>787</v>
      </c>
      <c r="D1163" s="1" t="s">
        <v>9</v>
      </c>
      <c r="E1163" s="3">
        <f>2684028+254541+54752</f>
        <v>2993321</v>
      </c>
      <c r="G1163" s="9">
        <f t="shared" si="23"/>
        <v>6981427</v>
      </c>
    </row>
    <row r="1164" spans="1:7" x14ac:dyDescent="0.2">
      <c r="A1164" s="12">
        <v>44907</v>
      </c>
      <c r="C1164" s="2" t="s">
        <v>137</v>
      </c>
      <c r="D1164" s="1" t="s">
        <v>9</v>
      </c>
      <c r="E1164" s="3">
        <v>280840</v>
      </c>
      <c r="G1164" s="9">
        <f t="shared" si="23"/>
        <v>7262267</v>
      </c>
    </row>
    <row r="1165" spans="1:7" x14ac:dyDescent="0.2">
      <c r="A1165" s="12">
        <v>44908</v>
      </c>
      <c r="C1165" s="2" t="s">
        <v>788</v>
      </c>
      <c r="D1165" s="1" t="s">
        <v>9</v>
      </c>
      <c r="F1165" s="3">
        <f>270613</f>
        <v>270613</v>
      </c>
      <c r="G1165" s="9">
        <f t="shared" si="23"/>
        <v>6991654</v>
      </c>
    </row>
    <row r="1166" spans="1:7" x14ac:dyDescent="0.2">
      <c r="A1166" s="12">
        <v>44908</v>
      </c>
      <c r="C1166" s="2" t="s">
        <v>789</v>
      </c>
      <c r="D1166" s="1" t="s">
        <v>9</v>
      </c>
      <c r="F1166" s="3">
        <f>128003+275</f>
        <v>128278</v>
      </c>
      <c r="G1166" s="9">
        <f t="shared" si="23"/>
        <v>6863376</v>
      </c>
    </row>
    <row r="1167" spans="1:7" x14ac:dyDescent="0.2">
      <c r="A1167" s="12">
        <v>44908</v>
      </c>
      <c r="C1167" s="2" t="s">
        <v>790</v>
      </c>
      <c r="D1167" s="1" t="s">
        <v>9</v>
      </c>
      <c r="F1167" s="3">
        <f>750000</f>
        <v>750000</v>
      </c>
      <c r="G1167" s="9">
        <f t="shared" si="23"/>
        <v>6113376</v>
      </c>
    </row>
    <row r="1168" spans="1:7" x14ac:dyDescent="0.2">
      <c r="A1168" s="12">
        <v>44908</v>
      </c>
      <c r="C1168" s="2" t="s">
        <v>791</v>
      </c>
      <c r="D1168" s="1" t="s">
        <v>9</v>
      </c>
      <c r="F1168" s="3">
        <f>276158+275</f>
        <v>276433</v>
      </c>
      <c r="G1168" s="9">
        <f t="shared" si="23"/>
        <v>5836943</v>
      </c>
    </row>
    <row r="1169" spans="1:7" x14ac:dyDescent="0.2">
      <c r="A1169" s="12">
        <v>44908</v>
      </c>
      <c r="C1169" s="2" t="s">
        <v>792</v>
      </c>
      <c r="D1169" s="1" t="s">
        <v>9</v>
      </c>
      <c r="F1169" s="3">
        <f>486864+275</f>
        <v>487139</v>
      </c>
      <c r="G1169" s="9">
        <f t="shared" si="23"/>
        <v>5349804</v>
      </c>
    </row>
    <row r="1170" spans="1:7" x14ac:dyDescent="0.2">
      <c r="A1170" s="12">
        <v>44908</v>
      </c>
      <c r="C1170" s="2" t="s">
        <v>793</v>
      </c>
      <c r="D1170" s="1" t="s">
        <v>9</v>
      </c>
      <c r="F1170" s="3">
        <f>72290+275</f>
        <v>72565</v>
      </c>
      <c r="G1170" s="9">
        <f t="shared" si="23"/>
        <v>5277239</v>
      </c>
    </row>
    <row r="1171" spans="1:7" x14ac:dyDescent="0.2">
      <c r="A1171" s="12">
        <v>44908</v>
      </c>
      <c r="C1171" s="2" t="s">
        <v>794</v>
      </c>
      <c r="D1171" s="1" t="s">
        <v>9</v>
      </c>
      <c r="F1171" s="3">
        <f>29559</f>
        <v>29559</v>
      </c>
      <c r="G1171" s="9">
        <f t="shared" si="23"/>
        <v>5247680</v>
      </c>
    </row>
    <row r="1172" spans="1:7" x14ac:dyDescent="0.2">
      <c r="A1172" s="12">
        <v>44908</v>
      </c>
      <c r="C1172" s="2" t="s">
        <v>795</v>
      </c>
      <c r="D1172" s="1" t="s">
        <v>9</v>
      </c>
      <c r="F1172" s="3">
        <f>207798+275</f>
        <v>208073</v>
      </c>
      <c r="G1172" s="9">
        <f t="shared" si="23"/>
        <v>5039607</v>
      </c>
    </row>
    <row r="1173" spans="1:7" x14ac:dyDescent="0.2">
      <c r="A1173" s="12">
        <v>44910</v>
      </c>
      <c r="C1173" s="2" t="s">
        <v>796</v>
      </c>
      <c r="D1173" s="1" t="s">
        <v>9</v>
      </c>
      <c r="E1173" s="3">
        <f>770367+642000+514071+84653+118590</f>
        <v>2129681</v>
      </c>
      <c r="G1173" s="9">
        <f t="shared" si="23"/>
        <v>7169288</v>
      </c>
    </row>
    <row r="1174" spans="1:7" x14ac:dyDescent="0.2">
      <c r="A1174" s="12">
        <v>44910</v>
      </c>
      <c r="C1174" s="2" t="s">
        <v>61</v>
      </c>
      <c r="D1174" s="1" t="s">
        <v>9</v>
      </c>
      <c r="E1174" s="3">
        <v>2003091</v>
      </c>
      <c r="G1174" s="9">
        <f t="shared" si="23"/>
        <v>9172379</v>
      </c>
    </row>
    <row r="1175" spans="1:7" x14ac:dyDescent="0.2">
      <c r="A1175" s="12">
        <v>44911</v>
      </c>
      <c r="C1175" s="2" t="s">
        <v>797</v>
      </c>
      <c r="D1175" s="1" t="s">
        <v>9</v>
      </c>
      <c r="E1175" s="3">
        <f>1125398+156399</f>
        <v>1281797</v>
      </c>
      <c r="G1175" s="9">
        <f t="shared" si="23"/>
        <v>10454176</v>
      </c>
    </row>
    <row r="1176" spans="1:7" x14ac:dyDescent="0.2">
      <c r="A1176" s="12">
        <v>44913</v>
      </c>
      <c r="C1176" s="2" t="s">
        <v>798</v>
      </c>
      <c r="D1176" s="1" t="s">
        <v>9</v>
      </c>
      <c r="F1176" s="3">
        <f>3016602+84872</f>
        <v>3101474</v>
      </c>
      <c r="G1176" s="9">
        <f t="shared" si="23"/>
        <v>7352702</v>
      </c>
    </row>
    <row r="1177" spans="1:7" x14ac:dyDescent="0.2">
      <c r="A1177" s="12">
        <v>44914</v>
      </c>
      <c r="C1177" s="2" t="s">
        <v>137</v>
      </c>
      <c r="D1177" s="1" t="s">
        <v>9</v>
      </c>
      <c r="E1177" s="3">
        <v>873363</v>
      </c>
      <c r="G1177" s="9">
        <f t="shared" si="23"/>
        <v>8226065</v>
      </c>
    </row>
    <row r="1178" spans="1:7" x14ac:dyDescent="0.2">
      <c r="A1178" s="12">
        <v>44914</v>
      </c>
      <c r="C1178" s="2" t="s">
        <v>137</v>
      </c>
      <c r="D1178" s="1" t="s">
        <v>9</v>
      </c>
      <c r="E1178" s="3">
        <v>873363</v>
      </c>
      <c r="G1178" s="9">
        <f t="shared" si="23"/>
        <v>9099428</v>
      </c>
    </row>
    <row r="1179" spans="1:7" x14ac:dyDescent="0.2">
      <c r="A1179" s="12">
        <v>44914</v>
      </c>
      <c r="C1179" s="2" t="s">
        <v>137</v>
      </c>
      <c r="D1179" s="1" t="s">
        <v>9</v>
      </c>
      <c r="E1179" s="3">
        <v>873363</v>
      </c>
      <c r="G1179" s="9">
        <f t="shared" si="23"/>
        <v>9972791</v>
      </c>
    </row>
    <row r="1180" spans="1:7" x14ac:dyDescent="0.2">
      <c r="A1180" s="12">
        <v>44914</v>
      </c>
      <c r="C1180" s="2" t="s">
        <v>137</v>
      </c>
      <c r="D1180" s="1" t="s">
        <v>9</v>
      </c>
      <c r="E1180" s="3">
        <v>873363</v>
      </c>
      <c r="G1180" s="9">
        <f t="shared" si="23"/>
        <v>10846154</v>
      </c>
    </row>
    <row r="1181" spans="1:7" x14ac:dyDescent="0.2">
      <c r="A1181" s="12">
        <v>44914</v>
      </c>
      <c r="C1181" s="2" t="s">
        <v>137</v>
      </c>
      <c r="D1181" s="1" t="s">
        <v>9</v>
      </c>
      <c r="E1181" s="3">
        <v>873363</v>
      </c>
      <c r="G1181" s="9">
        <f t="shared" si="23"/>
        <v>11719517</v>
      </c>
    </row>
    <row r="1182" spans="1:7" x14ac:dyDescent="0.2">
      <c r="A1182" s="12">
        <v>44914</v>
      </c>
      <c r="C1182" s="2" t="s">
        <v>137</v>
      </c>
      <c r="D1182" s="1" t="s">
        <v>9</v>
      </c>
      <c r="E1182" s="3">
        <v>873363</v>
      </c>
      <c r="G1182" s="9">
        <f t="shared" si="23"/>
        <v>12592880</v>
      </c>
    </row>
    <row r="1183" spans="1:7" x14ac:dyDescent="0.2">
      <c r="A1183" s="12">
        <v>44914</v>
      </c>
      <c r="C1183" s="2" t="s">
        <v>137</v>
      </c>
      <c r="D1183" s="1" t="s">
        <v>9</v>
      </c>
      <c r="E1183" s="3">
        <v>873363</v>
      </c>
      <c r="G1183" s="9">
        <f t="shared" si="23"/>
        <v>13466243</v>
      </c>
    </row>
    <row r="1184" spans="1:7" x14ac:dyDescent="0.2">
      <c r="A1184" s="12">
        <v>44914</v>
      </c>
      <c r="C1184" s="2" t="s">
        <v>137</v>
      </c>
      <c r="D1184" s="1" t="s">
        <v>9</v>
      </c>
      <c r="E1184" s="3">
        <v>873363</v>
      </c>
      <c r="G1184" s="9">
        <f t="shared" si="23"/>
        <v>14339606</v>
      </c>
    </row>
    <row r="1185" spans="1:7" x14ac:dyDescent="0.2">
      <c r="A1185" s="12">
        <v>44915</v>
      </c>
      <c r="C1185" s="2" t="s">
        <v>799</v>
      </c>
      <c r="D1185" s="1" t="s">
        <v>9</v>
      </c>
      <c r="F1185" s="3">
        <v>1945000</v>
      </c>
      <c r="G1185" s="9">
        <f t="shared" si="23"/>
        <v>12394606</v>
      </c>
    </row>
    <row r="1186" spans="1:7" x14ac:dyDescent="0.2">
      <c r="A1186" s="12">
        <v>44915</v>
      </c>
      <c r="C1186" s="2" t="s">
        <v>34</v>
      </c>
      <c r="D1186" s="1" t="s">
        <v>9</v>
      </c>
      <c r="F1186" s="3">
        <v>825</v>
      </c>
      <c r="G1186" s="9">
        <f t="shared" si="23"/>
        <v>12393781</v>
      </c>
    </row>
    <row r="1187" spans="1:7" x14ac:dyDescent="0.2">
      <c r="A1187" s="12">
        <v>44915</v>
      </c>
      <c r="C1187" s="2" t="s">
        <v>800</v>
      </c>
      <c r="D1187" s="1" t="s">
        <v>9</v>
      </c>
      <c r="E1187" s="3">
        <f>719046+960973+184080</f>
        <v>1864099</v>
      </c>
      <c r="G1187" s="9">
        <f t="shared" si="23"/>
        <v>14257880</v>
      </c>
    </row>
    <row r="1188" spans="1:7" x14ac:dyDescent="0.2">
      <c r="A1188" s="12">
        <v>44916</v>
      </c>
      <c r="C1188" s="2" t="s">
        <v>801</v>
      </c>
      <c r="D1188" s="1" t="s">
        <v>9</v>
      </c>
      <c r="E1188" s="3">
        <f>594665+56168+274527+411219</f>
        <v>1336579</v>
      </c>
      <c r="G1188" s="9">
        <f t="shared" si="23"/>
        <v>15594459</v>
      </c>
    </row>
    <row r="1189" spans="1:7" x14ac:dyDescent="0.2">
      <c r="A1189" s="12">
        <v>44918</v>
      </c>
      <c r="C1189" s="2" t="s">
        <v>804</v>
      </c>
      <c r="D1189" s="1" t="s">
        <v>9</v>
      </c>
      <c r="E1189" s="3">
        <v>604258</v>
      </c>
      <c r="G1189" s="9">
        <f t="shared" si="23"/>
        <v>16198717</v>
      </c>
    </row>
    <row r="1190" spans="1:7" x14ac:dyDescent="0.2">
      <c r="A1190" s="12">
        <v>44918</v>
      </c>
      <c r="C1190" s="2" t="s">
        <v>808</v>
      </c>
      <c r="D1190" s="1" t="s">
        <v>9</v>
      </c>
      <c r="E1190" s="3">
        <v>681790</v>
      </c>
      <c r="G1190" s="9">
        <f t="shared" si="23"/>
        <v>16880507</v>
      </c>
    </row>
    <row r="1191" spans="1:7" x14ac:dyDescent="0.2">
      <c r="A1191" s="12">
        <v>44922</v>
      </c>
      <c r="C1191" s="2" t="s">
        <v>35</v>
      </c>
      <c r="D1191" s="1" t="s">
        <v>9</v>
      </c>
      <c r="F1191" s="3">
        <v>6600</v>
      </c>
      <c r="G1191" s="9">
        <f t="shared" si="23"/>
        <v>16873907</v>
      </c>
    </row>
    <row r="1192" spans="1:7" x14ac:dyDescent="0.2">
      <c r="A1192" s="12">
        <v>44922</v>
      </c>
      <c r="C1192" s="2" t="s">
        <v>932</v>
      </c>
      <c r="D1192" s="1" t="s">
        <v>9</v>
      </c>
      <c r="F1192" s="3">
        <f>873363*7</f>
        <v>6113541</v>
      </c>
      <c r="G1192" s="9">
        <f t="shared" si="23"/>
        <v>10760366</v>
      </c>
    </row>
    <row r="1193" spans="1:7" x14ac:dyDescent="0.2">
      <c r="A1193" s="12">
        <v>44922</v>
      </c>
      <c r="C1193" s="2" t="s">
        <v>807</v>
      </c>
      <c r="D1193" s="1" t="s">
        <v>9</v>
      </c>
      <c r="E1193" s="3">
        <v>1157309</v>
      </c>
      <c r="G1193" s="9">
        <f t="shared" si="23"/>
        <v>11917675</v>
      </c>
    </row>
    <row r="1194" spans="1:7" x14ac:dyDescent="0.2">
      <c r="A1194" s="12">
        <v>44923</v>
      </c>
      <c r="C1194" s="2" t="s">
        <v>803</v>
      </c>
      <c r="D1194" s="1" t="s">
        <v>9</v>
      </c>
      <c r="E1194" s="3">
        <f>260882+385168+114121+57684</f>
        <v>817855</v>
      </c>
      <c r="G1194" s="9">
        <f t="shared" si="23"/>
        <v>12735530</v>
      </c>
    </row>
    <row r="1195" spans="1:7" x14ac:dyDescent="0.2">
      <c r="A1195" s="12">
        <v>44923</v>
      </c>
      <c r="B1195" s="21" t="s">
        <v>805</v>
      </c>
      <c r="C1195" s="2" t="s">
        <v>806</v>
      </c>
      <c r="D1195" s="1" t="s">
        <v>9</v>
      </c>
      <c r="F1195" s="3">
        <v>1560000</v>
      </c>
      <c r="G1195" s="9">
        <f t="shared" si="23"/>
        <v>11175530</v>
      </c>
    </row>
    <row r="1196" spans="1:7" x14ac:dyDescent="0.2">
      <c r="A1196" s="12">
        <v>44924</v>
      </c>
      <c r="C1196" s="2" t="s">
        <v>35</v>
      </c>
      <c r="D1196" s="1" t="s">
        <v>9</v>
      </c>
      <c r="F1196" s="3">
        <v>6600</v>
      </c>
      <c r="G1196" s="9">
        <f t="shared" si="23"/>
        <v>11168930</v>
      </c>
    </row>
    <row r="1197" spans="1:7" x14ac:dyDescent="0.2">
      <c r="A1197" s="12">
        <v>44924</v>
      </c>
      <c r="C1197" s="2" t="s">
        <v>27</v>
      </c>
      <c r="D1197" s="1" t="s">
        <v>9</v>
      </c>
      <c r="F1197" s="3">
        <v>150000</v>
      </c>
      <c r="G1197" s="9">
        <f t="shared" si="23"/>
        <v>11018930</v>
      </c>
    </row>
    <row r="1198" spans="1:7" x14ac:dyDescent="0.2">
      <c r="A1198" s="12">
        <v>44924</v>
      </c>
      <c r="C1198" s="2" t="s">
        <v>137</v>
      </c>
      <c r="D1198" s="1" t="s">
        <v>9</v>
      </c>
      <c r="E1198" s="3">
        <v>318954</v>
      </c>
      <c r="G1198" s="9">
        <f t="shared" si="23"/>
        <v>11337884</v>
      </c>
    </row>
    <row r="1199" spans="1:7" x14ac:dyDescent="0.2">
      <c r="A1199" s="12">
        <v>44924</v>
      </c>
      <c r="C1199" s="2" t="s">
        <v>809</v>
      </c>
      <c r="D1199" s="1" t="s">
        <v>9</v>
      </c>
      <c r="E1199" s="3">
        <v>52864</v>
      </c>
      <c r="G1199" s="9">
        <f t="shared" si="23"/>
        <v>11390748</v>
      </c>
    </row>
    <row r="1200" spans="1:7" x14ac:dyDescent="0.2">
      <c r="A1200" s="12">
        <v>44924</v>
      </c>
      <c r="C1200" s="2" t="s">
        <v>505</v>
      </c>
      <c r="D1200" s="1" t="s">
        <v>9</v>
      </c>
      <c r="E1200" s="3">
        <v>194529</v>
      </c>
      <c r="G1200" s="9">
        <f t="shared" si="23"/>
        <v>11585277</v>
      </c>
    </row>
    <row r="1201" spans="1:9" x14ac:dyDescent="0.2">
      <c r="A1201" s="12">
        <v>44925</v>
      </c>
      <c r="C1201" s="2" t="s">
        <v>810</v>
      </c>
      <c r="D1201" s="1" t="s">
        <v>9</v>
      </c>
      <c r="F1201" s="3">
        <v>2980137</v>
      </c>
      <c r="G1201" s="9">
        <f t="shared" si="23"/>
        <v>8605140</v>
      </c>
    </row>
    <row r="1202" spans="1:9" x14ac:dyDescent="0.2">
      <c r="A1202" s="12">
        <v>44925</v>
      </c>
      <c r="C1202" s="2" t="s">
        <v>34</v>
      </c>
      <c r="D1202" s="1" t="s">
        <v>9</v>
      </c>
      <c r="F1202" s="3">
        <v>825</v>
      </c>
      <c r="G1202" s="9">
        <f t="shared" si="23"/>
        <v>8604315</v>
      </c>
    </row>
    <row r="1203" spans="1:9" x14ac:dyDescent="0.2">
      <c r="A1203" s="12">
        <v>44925</v>
      </c>
      <c r="C1203" s="2" t="s">
        <v>811</v>
      </c>
      <c r="D1203" s="1" t="s">
        <v>9</v>
      </c>
      <c r="F1203" s="3">
        <v>51637</v>
      </c>
      <c r="G1203" s="24">
        <f t="shared" si="23"/>
        <v>8552678</v>
      </c>
      <c r="I1203" s="24"/>
    </row>
    <row r="1204" spans="1:9" x14ac:dyDescent="0.2">
      <c r="A1204" s="12">
        <v>44925</v>
      </c>
      <c r="C1204" s="2" t="s">
        <v>84</v>
      </c>
      <c r="D1204" s="1" t="s">
        <v>9</v>
      </c>
      <c r="F1204" s="3">
        <v>185185</v>
      </c>
      <c r="G1204" s="9">
        <f t="shared" si="23"/>
        <v>8367493</v>
      </c>
    </row>
    <row r="1205" spans="1:9" x14ac:dyDescent="0.2">
      <c r="A1205" s="12">
        <v>44925</v>
      </c>
      <c r="C1205" s="2" t="s">
        <v>84</v>
      </c>
      <c r="D1205" s="1" t="s">
        <v>9</v>
      </c>
      <c r="F1205" s="3">
        <v>487589</v>
      </c>
      <c r="G1205" s="9">
        <f t="shared" si="23"/>
        <v>7879904</v>
      </c>
    </row>
    <row r="1206" spans="1:9" ht="15.75" x14ac:dyDescent="0.25">
      <c r="A1206" s="10" t="s">
        <v>814</v>
      </c>
      <c r="G1206" s="8"/>
      <c r="I1206" s="24"/>
    </row>
    <row r="1207" spans="1:9" x14ac:dyDescent="0.2">
      <c r="A1207" s="11" t="s">
        <v>2</v>
      </c>
      <c r="B1207" s="5" t="s">
        <v>1</v>
      </c>
      <c r="C1207" s="5" t="s">
        <v>3</v>
      </c>
      <c r="D1207" s="5"/>
      <c r="E1207" s="7" t="s">
        <v>4</v>
      </c>
      <c r="F1207" s="7" t="s">
        <v>6</v>
      </c>
      <c r="G1207" s="8" t="s">
        <v>5</v>
      </c>
    </row>
    <row r="1208" spans="1:9" x14ac:dyDescent="0.2">
      <c r="A1208" s="12">
        <v>44929</v>
      </c>
      <c r="C1208" s="2" t="s">
        <v>440</v>
      </c>
      <c r="D1208" s="1" t="s">
        <v>9</v>
      </c>
      <c r="E1208" s="3">
        <v>8098</v>
      </c>
      <c r="G1208" s="9">
        <f>G1205+E1208-F1208</f>
        <v>7888002</v>
      </c>
    </row>
    <row r="1209" spans="1:9" x14ac:dyDescent="0.2">
      <c r="A1209" s="12">
        <v>44929</v>
      </c>
      <c r="C1209" s="2" t="s">
        <v>812</v>
      </c>
      <c r="D1209" s="1" t="s">
        <v>9</v>
      </c>
      <c r="E1209" s="3">
        <f>685020+310300+242713+478750</f>
        <v>1716783</v>
      </c>
      <c r="G1209" s="9">
        <f>G1208+E1209-F1209</f>
        <v>9604785</v>
      </c>
    </row>
    <row r="1210" spans="1:9" x14ac:dyDescent="0.2">
      <c r="A1210" s="12">
        <v>44929</v>
      </c>
      <c r="C1210" s="2" t="s">
        <v>813</v>
      </c>
      <c r="D1210" s="1" t="s">
        <v>9</v>
      </c>
      <c r="E1210" s="3">
        <f>365925+448400+796205+95403</f>
        <v>1705933</v>
      </c>
      <c r="G1210" s="9">
        <f t="shared" ref="G1210:G1217" si="24">G1209+E1210-F1210</f>
        <v>11310718</v>
      </c>
    </row>
    <row r="1211" spans="1:9" x14ac:dyDescent="0.2">
      <c r="A1211" s="12">
        <v>44932</v>
      </c>
      <c r="B1211" s="1" t="s">
        <v>816</v>
      </c>
      <c r="C1211" s="2" t="s">
        <v>154</v>
      </c>
      <c r="D1211" s="1" t="s">
        <v>9</v>
      </c>
      <c r="F1211" s="3">
        <v>284970</v>
      </c>
      <c r="G1211" s="9">
        <f t="shared" si="24"/>
        <v>11025748</v>
      </c>
    </row>
    <row r="1212" spans="1:9" x14ac:dyDescent="0.2">
      <c r="A1212" s="12">
        <v>44932</v>
      </c>
      <c r="B1212" s="1" t="s">
        <v>817</v>
      </c>
      <c r="C1212" s="2" t="s">
        <v>818</v>
      </c>
      <c r="D1212" s="1" t="s">
        <v>9</v>
      </c>
      <c r="F1212" s="3">
        <v>240000</v>
      </c>
      <c r="G1212" s="9">
        <f t="shared" si="24"/>
        <v>10785748</v>
      </c>
    </row>
    <row r="1213" spans="1:9" x14ac:dyDescent="0.2">
      <c r="A1213" s="12">
        <v>44932</v>
      </c>
      <c r="C1213" s="2" t="s">
        <v>802</v>
      </c>
      <c r="D1213" s="1" t="s">
        <v>9</v>
      </c>
      <c r="F1213" s="3">
        <f>5561367+135139</f>
        <v>5696506</v>
      </c>
      <c r="G1213" s="9">
        <f t="shared" si="24"/>
        <v>5089242</v>
      </c>
    </row>
    <row r="1214" spans="1:9" x14ac:dyDescent="0.2">
      <c r="A1214" s="12">
        <v>44932</v>
      </c>
      <c r="C1214" s="2" t="s">
        <v>18</v>
      </c>
      <c r="D1214" s="1" t="s">
        <v>9</v>
      </c>
      <c r="E1214" s="3">
        <v>267750</v>
      </c>
      <c r="G1214" s="9">
        <f t="shared" si="24"/>
        <v>5356992</v>
      </c>
    </row>
    <row r="1215" spans="1:9" x14ac:dyDescent="0.2">
      <c r="A1215" s="12">
        <v>44932</v>
      </c>
      <c r="C1215" s="2" t="s">
        <v>18</v>
      </c>
      <c r="D1215" s="1" t="s">
        <v>9</v>
      </c>
      <c r="E1215" s="3">
        <v>124950</v>
      </c>
      <c r="G1215" s="9">
        <f t="shared" si="24"/>
        <v>5481942</v>
      </c>
    </row>
    <row r="1216" spans="1:9" x14ac:dyDescent="0.2">
      <c r="A1216" s="12">
        <v>44932</v>
      </c>
      <c r="C1216" s="2" t="s">
        <v>189</v>
      </c>
      <c r="D1216" s="1" t="s">
        <v>9</v>
      </c>
      <c r="E1216" s="3">
        <v>431261</v>
      </c>
      <c r="G1216" s="9">
        <f t="shared" si="24"/>
        <v>5913203</v>
      </c>
    </row>
    <row r="1217" spans="1:7" x14ac:dyDescent="0.2">
      <c r="A1217" s="12">
        <v>44935</v>
      </c>
      <c r="C1217" s="2" t="s">
        <v>116</v>
      </c>
      <c r="D1217" s="1" t="s">
        <v>9</v>
      </c>
      <c r="E1217" s="3">
        <v>320158</v>
      </c>
      <c r="G1217" s="9">
        <f t="shared" si="24"/>
        <v>6233361</v>
      </c>
    </row>
    <row r="1218" spans="1:7" x14ac:dyDescent="0.2">
      <c r="A1218" s="12">
        <v>44936</v>
      </c>
      <c r="C1218" s="2" t="s">
        <v>165</v>
      </c>
      <c r="D1218" s="1" t="s">
        <v>9</v>
      </c>
      <c r="E1218" s="3">
        <v>134720</v>
      </c>
      <c r="G1218" s="9">
        <f t="shared" ref="G1218:G1287" si="25">G1217+E1218-F1218</f>
        <v>6368081</v>
      </c>
    </row>
    <row r="1219" spans="1:7" x14ac:dyDescent="0.2">
      <c r="A1219" s="12">
        <v>44936</v>
      </c>
      <c r="C1219" s="2" t="s">
        <v>819</v>
      </c>
      <c r="D1219" s="1" t="s">
        <v>9</v>
      </c>
      <c r="F1219" s="3">
        <f>500000+275</f>
        <v>500275</v>
      </c>
      <c r="G1219" s="9">
        <f t="shared" si="25"/>
        <v>5867806</v>
      </c>
    </row>
    <row r="1220" spans="1:7" x14ac:dyDescent="0.2">
      <c r="A1220" s="12">
        <v>44936</v>
      </c>
      <c r="C1220" s="2" t="s">
        <v>820</v>
      </c>
      <c r="D1220" s="1" t="s">
        <v>9</v>
      </c>
      <c r="F1220" s="3">
        <f>162500+275</f>
        <v>162775</v>
      </c>
      <c r="G1220" s="9">
        <f t="shared" si="25"/>
        <v>5705031</v>
      </c>
    </row>
    <row r="1221" spans="1:7" x14ac:dyDescent="0.2">
      <c r="A1221" s="12">
        <v>44936</v>
      </c>
      <c r="C1221" s="2" t="s">
        <v>706</v>
      </c>
      <c r="D1221" s="1" t="s">
        <v>9</v>
      </c>
      <c r="F1221" s="3">
        <f>470684</f>
        <v>470684</v>
      </c>
      <c r="G1221" s="9">
        <f t="shared" si="25"/>
        <v>5234347</v>
      </c>
    </row>
    <row r="1222" spans="1:7" x14ac:dyDescent="0.2">
      <c r="A1222" s="12">
        <v>44936</v>
      </c>
      <c r="C1222" s="2" t="s">
        <v>821</v>
      </c>
      <c r="D1222" s="1" t="s">
        <v>9</v>
      </c>
      <c r="F1222" s="3">
        <f>500000+275</f>
        <v>500275</v>
      </c>
      <c r="G1222" s="9">
        <f t="shared" si="25"/>
        <v>4734072</v>
      </c>
    </row>
    <row r="1223" spans="1:7" x14ac:dyDescent="0.2">
      <c r="A1223" s="12">
        <v>44936</v>
      </c>
      <c r="C1223" s="2" t="s">
        <v>822</v>
      </c>
      <c r="D1223" s="1" t="s">
        <v>9</v>
      </c>
      <c r="F1223" s="3">
        <f>127912+275</f>
        <v>128187</v>
      </c>
      <c r="G1223" s="9">
        <f t="shared" si="25"/>
        <v>4605885</v>
      </c>
    </row>
    <row r="1224" spans="1:7" x14ac:dyDescent="0.2">
      <c r="A1224" s="12">
        <v>44936</v>
      </c>
      <c r="C1224" s="2" t="s">
        <v>823</v>
      </c>
      <c r="D1224" s="1" t="s">
        <v>9</v>
      </c>
      <c r="F1224" s="3">
        <f>190228</f>
        <v>190228</v>
      </c>
      <c r="G1224" s="9">
        <f t="shared" si="25"/>
        <v>4415657</v>
      </c>
    </row>
    <row r="1225" spans="1:7" x14ac:dyDescent="0.2">
      <c r="A1225" s="12">
        <v>44936</v>
      </c>
      <c r="C1225" s="2" t="s">
        <v>824</v>
      </c>
      <c r="D1225" s="1" t="s">
        <v>9</v>
      </c>
      <c r="F1225" s="3">
        <f>1309839</f>
        <v>1309839</v>
      </c>
      <c r="G1225" s="9">
        <f t="shared" si="25"/>
        <v>3105818</v>
      </c>
    </row>
    <row r="1226" spans="1:7" x14ac:dyDescent="0.2">
      <c r="A1226" s="12">
        <v>44936</v>
      </c>
      <c r="C1226" s="2" t="s">
        <v>825</v>
      </c>
      <c r="D1226" s="1" t="s">
        <v>9</v>
      </c>
      <c r="F1226" s="3">
        <f>76700+275</f>
        <v>76975</v>
      </c>
      <c r="G1226" s="9">
        <f t="shared" si="25"/>
        <v>3028843</v>
      </c>
    </row>
    <row r="1227" spans="1:7" x14ac:dyDescent="0.2">
      <c r="A1227" s="12">
        <v>44936</v>
      </c>
      <c r="C1227" s="2" t="s">
        <v>826</v>
      </c>
      <c r="D1227" s="1" t="s">
        <v>9</v>
      </c>
      <c r="F1227" s="3">
        <f>123900+275</f>
        <v>124175</v>
      </c>
      <c r="G1227" s="9">
        <f t="shared" si="25"/>
        <v>2904668</v>
      </c>
    </row>
    <row r="1228" spans="1:7" x14ac:dyDescent="0.2">
      <c r="A1228" s="12">
        <v>44936</v>
      </c>
      <c r="C1228" s="2" t="s">
        <v>827</v>
      </c>
      <c r="D1228" s="1" t="s">
        <v>9</v>
      </c>
      <c r="E1228" s="3">
        <f>687205+43490+23895</f>
        <v>754590</v>
      </c>
      <c r="G1228" s="9">
        <f t="shared" si="25"/>
        <v>3659258</v>
      </c>
    </row>
    <row r="1229" spans="1:7" x14ac:dyDescent="0.2">
      <c r="A1229" s="12">
        <v>44938</v>
      </c>
      <c r="C1229" s="2" t="s">
        <v>828</v>
      </c>
      <c r="D1229" s="1" t="s">
        <v>9</v>
      </c>
      <c r="F1229" s="3">
        <v>6760438</v>
      </c>
      <c r="G1229" s="9">
        <f t="shared" si="25"/>
        <v>-3101180</v>
      </c>
    </row>
    <row r="1230" spans="1:7" x14ac:dyDescent="0.2">
      <c r="A1230" s="12">
        <v>44938</v>
      </c>
      <c r="C1230" s="2" t="s">
        <v>829</v>
      </c>
      <c r="D1230" s="1" t="s">
        <v>9</v>
      </c>
      <c r="F1230" s="3">
        <v>21800</v>
      </c>
      <c r="G1230" s="9">
        <f t="shared" si="25"/>
        <v>-3122980</v>
      </c>
    </row>
    <row r="1231" spans="1:7" x14ac:dyDescent="0.2">
      <c r="A1231" s="12">
        <v>44938</v>
      </c>
      <c r="C1231" s="2" t="s">
        <v>830</v>
      </c>
      <c r="D1231" s="1" t="s">
        <v>9</v>
      </c>
      <c r="F1231" s="3">
        <v>76718</v>
      </c>
      <c r="G1231" s="9">
        <f t="shared" si="25"/>
        <v>-3199698</v>
      </c>
    </row>
    <row r="1232" spans="1:7" x14ac:dyDescent="0.2">
      <c r="A1232" s="12">
        <v>44938</v>
      </c>
      <c r="B1232" s="1" t="s">
        <v>831</v>
      </c>
      <c r="C1232" s="2" t="s">
        <v>832</v>
      </c>
      <c r="D1232" s="1" t="s">
        <v>9</v>
      </c>
      <c r="F1232" s="3">
        <v>410100</v>
      </c>
      <c r="G1232" s="9">
        <f t="shared" si="25"/>
        <v>-3609798</v>
      </c>
    </row>
    <row r="1233" spans="1:7" x14ac:dyDescent="0.2">
      <c r="A1233" s="12">
        <v>44938</v>
      </c>
      <c r="B1233" s="1" t="s">
        <v>833</v>
      </c>
      <c r="C1233" s="22" t="s">
        <v>724</v>
      </c>
      <c r="D1233" s="1" t="s">
        <v>9</v>
      </c>
      <c r="F1233" s="3">
        <v>600000</v>
      </c>
      <c r="G1233" s="9">
        <f t="shared" si="25"/>
        <v>-4209798</v>
      </c>
    </row>
    <row r="1234" spans="1:7" x14ac:dyDescent="0.2">
      <c r="A1234" s="12">
        <v>44938</v>
      </c>
      <c r="B1234" s="1" t="s">
        <v>834</v>
      </c>
      <c r="C1234" s="2" t="s">
        <v>700</v>
      </c>
      <c r="D1234" s="1" t="s">
        <v>9</v>
      </c>
      <c r="F1234" s="3">
        <v>165000</v>
      </c>
      <c r="G1234" s="9">
        <f t="shared" si="25"/>
        <v>-4374798</v>
      </c>
    </row>
    <row r="1235" spans="1:7" x14ac:dyDescent="0.2">
      <c r="A1235" s="12">
        <v>44938</v>
      </c>
      <c r="B1235" s="1" t="s">
        <v>835</v>
      </c>
      <c r="C1235" s="2" t="s">
        <v>150</v>
      </c>
      <c r="D1235" s="1" t="s">
        <v>9</v>
      </c>
      <c r="F1235" s="3">
        <v>232000</v>
      </c>
      <c r="G1235" s="9">
        <f t="shared" si="25"/>
        <v>-4606798</v>
      </c>
    </row>
    <row r="1236" spans="1:7" x14ac:dyDescent="0.2">
      <c r="A1236" s="12">
        <v>44938</v>
      </c>
      <c r="C1236" s="2" t="s">
        <v>836</v>
      </c>
      <c r="D1236" s="1" t="s">
        <v>9</v>
      </c>
      <c r="E1236" s="3">
        <f>229261+56525+763737+871000</f>
        <v>1920523</v>
      </c>
      <c r="G1236" s="9">
        <f t="shared" si="25"/>
        <v>-2686275</v>
      </c>
    </row>
    <row r="1237" spans="1:7" x14ac:dyDescent="0.2">
      <c r="A1237" s="12">
        <v>44938</v>
      </c>
      <c r="C1237" s="2" t="s">
        <v>440</v>
      </c>
      <c r="D1237" s="1" t="s">
        <v>9</v>
      </c>
      <c r="E1237" s="3">
        <v>8990</v>
      </c>
      <c r="G1237" s="9">
        <f t="shared" si="25"/>
        <v>-2677285</v>
      </c>
    </row>
    <row r="1238" spans="1:7" x14ac:dyDescent="0.2">
      <c r="A1238" s="12">
        <v>44938</v>
      </c>
      <c r="C1238" s="2" t="s">
        <v>351</v>
      </c>
      <c r="D1238" s="1" t="s">
        <v>9</v>
      </c>
      <c r="E1238" s="3">
        <v>70210</v>
      </c>
      <c r="G1238" s="9">
        <f t="shared" si="25"/>
        <v>-2607075</v>
      </c>
    </row>
    <row r="1239" spans="1:7" x14ac:dyDescent="0.2">
      <c r="A1239" s="12">
        <v>44939</v>
      </c>
      <c r="C1239" s="2" t="s">
        <v>20</v>
      </c>
      <c r="D1239" s="1" t="s">
        <v>9</v>
      </c>
      <c r="F1239" s="3">
        <v>5000</v>
      </c>
      <c r="G1239" s="9">
        <f t="shared" si="25"/>
        <v>-2612075</v>
      </c>
    </row>
    <row r="1240" spans="1:7" x14ac:dyDescent="0.2">
      <c r="A1240" s="12">
        <v>44939</v>
      </c>
      <c r="C1240" s="2" t="s">
        <v>20</v>
      </c>
      <c r="D1240" s="1" t="s">
        <v>9</v>
      </c>
      <c r="F1240" s="3">
        <v>5000</v>
      </c>
      <c r="G1240" s="9">
        <f t="shared" si="25"/>
        <v>-2617075</v>
      </c>
    </row>
    <row r="1241" spans="1:7" x14ac:dyDescent="0.2">
      <c r="A1241" s="12">
        <v>44939</v>
      </c>
      <c r="C1241" s="2" t="s">
        <v>20</v>
      </c>
      <c r="D1241" s="1" t="s">
        <v>9</v>
      </c>
      <c r="F1241" s="3">
        <v>5000</v>
      </c>
      <c r="G1241" s="9">
        <f t="shared" si="25"/>
        <v>-2622075</v>
      </c>
    </row>
    <row r="1242" spans="1:7" x14ac:dyDescent="0.2">
      <c r="A1242" s="12">
        <v>44942</v>
      </c>
      <c r="C1242" s="2" t="s">
        <v>815</v>
      </c>
      <c r="D1242" s="1" t="s">
        <v>9</v>
      </c>
      <c r="F1242" s="3">
        <f>2382114+72344</f>
        <v>2454458</v>
      </c>
      <c r="G1242" s="9">
        <f t="shared" si="25"/>
        <v>-5076533</v>
      </c>
    </row>
    <row r="1243" spans="1:7" x14ac:dyDescent="0.2">
      <c r="A1243" s="12">
        <v>44942</v>
      </c>
      <c r="C1243" s="2" t="s">
        <v>837</v>
      </c>
      <c r="D1243" s="1" t="s">
        <v>9</v>
      </c>
      <c r="E1243" s="3">
        <f>403696+331728+160794+37111+1050523+1772009</f>
        <v>3755861</v>
      </c>
      <c r="G1243" s="9">
        <f t="shared" si="25"/>
        <v>-1320672</v>
      </c>
    </row>
    <row r="1244" spans="1:7" x14ac:dyDescent="0.2">
      <c r="A1244" s="12">
        <v>44942</v>
      </c>
      <c r="C1244" s="2" t="s">
        <v>838</v>
      </c>
      <c r="D1244" s="1" t="s">
        <v>9</v>
      </c>
      <c r="E1244" s="3">
        <f>506385+70984+18054+10030+27583+68204+1083919</f>
        <v>1785159</v>
      </c>
      <c r="G1244" s="9">
        <f t="shared" si="25"/>
        <v>464487</v>
      </c>
    </row>
    <row r="1245" spans="1:7" x14ac:dyDescent="0.2">
      <c r="A1245" s="20">
        <v>44942</v>
      </c>
      <c r="B1245" s="21"/>
      <c r="C1245" s="22" t="s">
        <v>18</v>
      </c>
      <c r="D1245" s="21" t="s">
        <v>9</v>
      </c>
      <c r="E1245" s="23">
        <v>25925</v>
      </c>
      <c r="G1245" s="9">
        <f t="shared" si="25"/>
        <v>490412</v>
      </c>
    </row>
    <row r="1246" spans="1:7" x14ac:dyDescent="0.2">
      <c r="A1246" s="12">
        <v>44944</v>
      </c>
      <c r="C1246" s="2" t="s">
        <v>839</v>
      </c>
      <c r="D1246" s="1" t="s">
        <v>9</v>
      </c>
      <c r="F1246" s="3">
        <f>3736535</f>
        <v>3736535</v>
      </c>
      <c r="G1246" s="9">
        <f t="shared" si="25"/>
        <v>-3246123</v>
      </c>
    </row>
    <row r="1247" spans="1:7" x14ac:dyDescent="0.2">
      <c r="A1247" s="12">
        <v>44944</v>
      </c>
      <c r="C1247" s="2" t="s">
        <v>377</v>
      </c>
      <c r="D1247" s="1" t="s">
        <v>9</v>
      </c>
      <c r="E1247" s="3">
        <v>1000000</v>
      </c>
      <c r="G1247" s="9">
        <f t="shared" si="25"/>
        <v>-2246123</v>
      </c>
    </row>
    <row r="1248" spans="1:7" x14ac:dyDescent="0.2">
      <c r="A1248" s="12">
        <v>44944</v>
      </c>
      <c r="C1248" s="2" t="s">
        <v>840</v>
      </c>
      <c r="D1248" s="1" t="s">
        <v>9</v>
      </c>
      <c r="E1248" s="3">
        <f>725558+91574+36108+390526+36840+591992+39967+236000</f>
        <v>2148565</v>
      </c>
      <c r="G1248" s="9">
        <f t="shared" si="25"/>
        <v>-97558</v>
      </c>
    </row>
    <row r="1249" spans="1:7" x14ac:dyDescent="0.2">
      <c r="A1249" s="12">
        <v>44944</v>
      </c>
      <c r="C1249" s="2" t="s">
        <v>61</v>
      </c>
      <c r="D1249" s="1" t="s">
        <v>9</v>
      </c>
      <c r="E1249" s="3">
        <v>2505875</v>
      </c>
      <c r="G1249" s="9">
        <f t="shared" si="25"/>
        <v>2408317</v>
      </c>
    </row>
    <row r="1250" spans="1:7" x14ac:dyDescent="0.2">
      <c r="A1250" s="12">
        <v>44944</v>
      </c>
      <c r="B1250" s="1" t="s">
        <v>841</v>
      </c>
      <c r="C1250" s="2" t="s">
        <v>842</v>
      </c>
      <c r="D1250" s="1" t="s">
        <v>9</v>
      </c>
      <c r="F1250" s="3">
        <v>1925557</v>
      </c>
      <c r="G1250" s="9">
        <f t="shared" si="25"/>
        <v>482760</v>
      </c>
    </row>
    <row r="1251" spans="1:7" x14ac:dyDescent="0.2">
      <c r="A1251" s="12">
        <v>44944</v>
      </c>
      <c r="B1251" s="1" t="s">
        <v>843</v>
      </c>
      <c r="C1251" s="2" t="s">
        <v>844</v>
      </c>
      <c r="D1251" s="1" t="s">
        <v>9</v>
      </c>
      <c r="F1251" s="3">
        <v>220000</v>
      </c>
      <c r="G1251" s="9">
        <f t="shared" si="25"/>
        <v>262760</v>
      </c>
    </row>
    <row r="1252" spans="1:7" x14ac:dyDescent="0.2">
      <c r="A1252" s="12">
        <v>44944</v>
      </c>
      <c r="C1252" s="2" t="s">
        <v>53</v>
      </c>
      <c r="D1252" s="1" t="s">
        <v>9</v>
      </c>
      <c r="F1252" s="3">
        <v>100</v>
      </c>
      <c r="G1252" s="9">
        <f t="shared" si="25"/>
        <v>262660</v>
      </c>
    </row>
    <row r="1253" spans="1:7" x14ac:dyDescent="0.2">
      <c r="A1253" s="12">
        <v>44945</v>
      </c>
      <c r="C1253" s="2" t="s">
        <v>377</v>
      </c>
      <c r="D1253" s="1" t="s">
        <v>9</v>
      </c>
      <c r="E1253" s="3">
        <v>1500000</v>
      </c>
      <c r="G1253" s="9">
        <f t="shared" si="25"/>
        <v>1762660</v>
      </c>
    </row>
    <row r="1254" spans="1:7" x14ac:dyDescent="0.2">
      <c r="A1254" s="12">
        <v>44945</v>
      </c>
      <c r="C1254" s="2" t="s">
        <v>53</v>
      </c>
      <c r="D1254" s="1" t="s">
        <v>9</v>
      </c>
      <c r="F1254" s="3">
        <v>100</v>
      </c>
      <c r="G1254" s="9">
        <f t="shared" si="25"/>
        <v>1762560</v>
      </c>
    </row>
    <row r="1255" spans="1:7" x14ac:dyDescent="0.2">
      <c r="A1255" s="12">
        <v>44945</v>
      </c>
      <c r="C1255" s="2" t="s">
        <v>555</v>
      </c>
      <c r="D1255" s="1" t="s">
        <v>9</v>
      </c>
      <c r="E1255" s="3">
        <v>192576</v>
      </c>
      <c r="G1255" s="9">
        <f t="shared" si="25"/>
        <v>1955136</v>
      </c>
    </row>
    <row r="1256" spans="1:7" x14ac:dyDescent="0.2">
      <c r="A1256" s="12">
        <v>44945</v>
      </c>
      <c r="C1256" s="2" t="s">
        <v>701</v>
      </c>
      <c r="D1256" s="1" t="s">
        <v>9</v>
      </c>
      <c r="E1256" s="3">
        <v>343528</v>
      </c>
      <c r="G1256" s="9">
        <f t="shared" si="25"/>
        <v>2298664</v>
      </c>
    </row>
    <row r="1257" spans="1:7" x14ac:dyDescent="0.2">
      <c r="A1257" s="12">
        <v>44946</v>
      </c>
      <c r="C1257" s="2" t="s">
        <v>845</v>
      </c>
      <c r="D1257" s="1" t="s">
        <v>9</v>
      </c>
      <c r="F1257" s="3">
        <f>4603504</f>
        <v>4603504</v>
      </c>
      <c r="G1257" s="9">
        <f t="shared" si="25"/>
        <v>-2304840</v>
      </c>
    </row>
    <row r="1258" spans="1:7" x14ac:dyDescent="0.2">
      <c r="A1258" s="12">
        <v>44946</v>
      </c>
      <c r="C1258" s="2" t="s">
        <v>846</v>
      </c>
      <c r="D1258" s="1" t="s">
        <v>9</v>
      </c>
      <c r="E1258" s="3">
        <f>356903+200128+437067+1177176+100631</f>
        <v>2271905</v>
      </c>
      <c r="G1258" s="9">
        <f t="shared" si="25"/>
        <v>-32935</v>
      </c>
    </row>
    <row r="1259" spans="1:7" x14ac:dyDescent="0.2">
      <c r="A1259" s="12">
        <v>44946</v>
      </c>
      <c r="C1259" s="2" t="s">
        <v>847</v>
      </c>
      <c r="D1259" s="1" t="s">
        <v>9</v>
      </c>
      <c r="E1259" s="3">
        <f>770822+843273+492270</f>
        <v>2106365</v>
      </c>
      <c r="G1259" s="9">
        <f t="shared" si="25"/>
        <v>2073430</v>
      </c>
    </row>
    <row r="1260" spans="1:7" x14ac:dyDescent="0.2">
      <c r="A1260" s="12">
        <v>44949</v>
      </c>
      <c r="C1260" s="2" t="s">
        <v>165</v>
      </c>
      <c r="D1260" s="1" t="s">
        <v>9</v>
      </c>
      <c r="E1260" s="3">
        <v>78400</v>
      </c>
      <c r="G1260" s="9">
        <f t="shared" si="25"/>
        <v>2151830</v>
      </c>
    </row>
    <row r="1261" spans="1:7" x14ac:dyDescent="0.2">
      <c r="A1261" s="12">
        <v>44950</v>
      </c>
      <c r="C1261" s="2" t="s">
        <v>137</v>
      </c>
      <c r="D1261" s="1" t="s">
        <v>9</v>
      </c>
      <c r="E1261" s="3">
        <v>18556</v>
      </c>
      <c r="G1261" s="9">
        <f t="shared" si="25"/>
        <v>2170386</v>
      </c>
    </row>
    <row r="1262" spans="1:7" x14ac:dyDescent="0.2">
      <c r="A1262" s="12">
        <v>44951</v>
      </c>
      <c r="C1262" s="2" t="s">
        <v>848</v>
      </c>
      <c r="D1262" s="1" t="s">
        <v>9</v>
      </c>
      <c r="E1262" s="3">
        <v>263200</v>
      </c>
      <c r="G1262" s="9">
        <f t="shared" si="25"/>
        <v>2433586</v>
      </c>
    </row>
    <row r="1263" spans="1:7" x14ac:dyDescent="0.2">
      <c r="A1263" s="12">
        <v>44951</v>
      </c>
      <c r="C1263" s="2" t="s">
        <v>849</v>
      </c>
      <c r="D1263" s="1" t="s">
        <v>9</v>
      </c>
      <c r="E1263" s="3">
        <f>227032+262904+2236690+32598+64443+70210+65986</f>
        <v>2959863</v>
      </c>
      <c r="G1263" s="9">
        <f t="shared" si="25"/>
        <v>5393449</v>
      </c>
    </row>
    <row r="1264" spans="1:7" x14ac:dyDescent="0.2">
      <c r="A1264" s="12">
        <v>44952</v>
      </c>
      <c r="C1264" s="2" t="s">
        <v>850</v>
      </c>
      <c r="D1264" s="1" t="s">
        <v>9</v>
      </c>
      <c r="E1264" s="3">
        <f>318600+885000+113591+71366</f>
        <v>1388557</v>
      </c>
      <c r="G1264" s="9">
        <f t="shared" si="25"/>
        <v>6782006</v>
      </c>
    </row>
    <row r="1265" spans="1:10" x14ac:dyDescent="0.2">
      <c r="A1265" s="12">
        <v>44952</v>
      </c>
      <c r="C1265" s="2" t="s">
        <v>45</v>
      </c>
      <c r="D1265" s="1" t="s">
        <v>9</v>
      </c>
      <c r="E1265" s="3">
        <v>747837</v>
      </c>
      <c r="G1265" s="9">
        <f t="shared" si="25"/>
        <v>7529843</v>
      </c>
    </row>
    <row r="1266" spans="1:10" x14ac:dyDescent="0.2">
      <c r="A1266" s="12">
        <v>44956</v>
      </c>
      <c r="C1266" s="2" t="s">
        <v>851</v>
      </c>
      <c r="D1266" s="1" t="s">
        <v>9</v>
      </c>
      <c r="F1266" s="3">
        <f>4058360+105454</f>
        <v>4163814</v>
      </c>
      <c r="G1266" s="9">
        <f t="shared" si="25"/>
        <v>3366029</v>
      </c>
    </row>
    <row r="1267" spans="1:10" x14ac:dyDescent="0.2">
      <c r="A1267" s="12">
        <v>44956</v>
      </c>
      <c r="B1267" s="1" t="s">
        <v>852</v>
      </c>
      <c r="C1267" s="2" t="s">
        <v>777</v>
      </c>
      <c r="D1267" s="1" t="s">
        <v>9</v>
      </c>
      <c r="F1267" s="3">
        <v>335000</v>
      </c>
      <c r="G1267" s="9">
        <f t="shared" si="25"/>
        <v>3031029</v>
      </c>
    </row>
    <row r="1268" spans="1:10" x14ac:dyDescent="0.2">
      <c r="A1268" s="12">
        <v>44956</v>
      </c>
      <c r="C1268" s="2" t="s">
        <v>853</v>
      </c>
      <c r="D1268" s="1" t="s">
        <v>9</v>
      </c>
      <c r="E1268" s="3">
        <f>1659644+12095+71744+254859+5664+362436</f>
        <v>2366442</v>
      </c>
      <c r="G1268" s="9">
        <f t="shared" si="25"/>
        <v>5397471</v>
      </c>
    </row>
    <row r="1269" spans="1:10" x14ac:dyDescent="0.2">
      <c r="A1269" s="12">
        <v>44956</v>
      </c>
      <c r="C1269" s="2" t="s">
        <v>35</v>
      </c>
      <c r="D1269" s="1" t="s">
        <v>9</v>
      </c>
      <c r="F1269" s="3">
        <v>6600</v>
      </c>
      <c r="G1269" s="9">
        <f t="shared" si="25"/>
        <v>5390871</v>
      </c>
    </row>
    <row r="1270" spans="1:10" x14ac:dyDescent="0.2">
      <c r="A1270" s="12">
        <v>44956</v>
      </c>
      <c r="C1270" s="2" t="s">
        <v>137</v>
      </c>
      <c r="D1270" s="1" t="s">
        <v>9</v>
      </c>
      <c r="E1270" s="3">
        <v>158273</v>
      </c>
      <c r="G1270" s="9">
        <f t="shared" si="25"/>
        <v>5549144</v>
      </c>
    </row>
    <row r="1271" spans="1:10" x14ac:dyDescent="0.2">
      <c r="A1271" s="12">
        <v>44957</v>
      </c>
      <c r="C1271" s="2" t="s">
        <v>857</v>
      </c>
      <c r="D1271" s="1" t="s">
        <v>9</v>
      </c>
      <c r="F1271" s="3">
        <v>86887</v>
      </c>
      <c r="G1271" s="9">
        <f t="shared" si="25"/>
        <v>5462257</v>
      </c>
    </row>
    <row r="1272" spans="1:10" s="28" customFormat="1" ht="15.75" x14ac:dyDescent="0.25">
      <c r="A1272" s="10" t="s">
        <v>856</v>
      </c>
      <c r="B1272" s="1"/>
      <c r="C1272" s="2"/>
      <c r="D1272" s="1"/>
      <c r="E1272" s="3"/>
      <c r="F1272" s="3"/>
      <c r="G1272" s="8"/>
      <c r="H1272" s="27"/>
      <c r="I1272" s="26"/>
    </row>
    <row r="1273" spans="1:10" s="28" customFormat="1" x14ac:dyDescent="0.2">
      <c r="A1273" s="11" t="s">
        <v>2</v>
      </c>
      <c r="B1273" s="5" t="s">
        <v>1</v>
      </c>
      <c r="C1273" s="5" t="s">
        <v>3</v>
      </c>
      <c r="D1273" s="5"/>
      <c r="E1273" s="7" t="s">
        <v>4</v>
      </c>
      <c r="F1273" s="7" t="s">
        <v>6</v>
      </c>
      <c r="G1273" s="8" t="s">
        <v>5</v>
      </c>
      <c r="H1273" s="27"/>
      <c r="I1273" s="26"/>
    </row>
    <row r="1274" spans="1:10" x14ac:dyDescent="0.2">
      <c r="A1274" s="12">
        <v>44958</v>
      </c>
      <c r="C1274" s="2" t="s">
        <v>854</v>
      </c>
      <c r="D1274" s="1" t="s">
        <v>9</v>
      </c>
      <c r="F1274" s="3">
        <f>1182017</f>
        <v>1182017</v>
      </c>
      <c r="G1274" s="9">
        <f>G1271+E1274-F1274</f>
        <v>4280240</v>
      </c>
    </row>
    <row r="1275" spans="1:10" x14ac:dyDescent="0.2">
      <c r="A1275" s="12">
        <v>44958</v>
      </c>
      <c r="C1275" s="2" t="s">
        <v>855</v>
      </c>
      <c r="D1275" s="1" t="s">
        <v>9</v>
      </c>
      <c r="F1275" s="3">
        <f>3154779</f>
        <v>3154779</v>
      </c>
      <c r="G1275" s="9">
        <f t="shared" si="25"/>
        <v>1125461</v>
      </c>
    </row>
    <row r="1276" spans="1:10" x14ac:dyDescent="0.2">
      <c r="A1276" s="12">
        <v>44958</v>
      </c>
      <c r="C1276" s="2" t="s">
        <v>34</v>
      </c>
      <c r="D1276" s="1" t="s">
        <v>9</v>
      </c>
      <c r="F1276" s="3">
        <v>550</v>
      </c>
      <c r="G1276" s="9">
        <f t="shared" si="25"/>
        <v>1124911</v>
      </c>
    </row>
    <row r="1277" spans="1:10" x14ac:dyDescent="0.2">
      <c r="A1277" s="12">
        <v>44958</v>
      </c>
      <c r="C1277" s="2" t="s">
        <v>84</v>
      </c>
      <c r="D1277" s="1" t="s">
        <v>9</v>
      </c>
      <c r="F1277" s="3">
        <v>487589</v>
      </c>
      <c r="G1277" s="9">
        <f t="shared" si="25"/>
        <v>637322</v>
      </c>
      <c r="J1277" s="9"/>
    </row>
    <row r="1278" spans="1:10" x14ac:dyDescent="0.2">
      <c r="A1278" s="12">
        <v>44958</v>
      </c>
      <c r="C1278" s="2" t="s">
        <v>701</v>
      </c>
      <c r="D1278" s="1" t="s">
        <v>9</v>
      </c>
      <c r="E1278" s="3">
        <v>714537</v>
      </c>
      <c r="G1278" s="9">
        <f t="shared" si="25"/>
        <v>1351859</v>
      </c>
      <c r="I1278" s="9">
        <v>5886373</v>
      </c>
      <c r="J1278" s="9"/>
    </row>
    <row r="1279" spans="1:10" x14ac:dyDescent="0.2">
      <c r="A1279" s="12">
        <v>44959</v>
      </c>
      <c r="C1279" s="2" t="s">
        <v>505</v>
      </c>
      <c r="D1279" s="1" t="s">
        <v>9</v>
      </c>
      <c r="E1279" s="3">
        <v>35700</v>
      </c>
      <c r="G1279" s="9">
        <f t="shared" si="25"/>
        <v>1387559</v>
      </c>
      <c r="I1279" s="9">
        <f>I1278-F1267-F1266</f>
        <v>1387559</v>
      </c>
      <c r="J1279" s="9"/>
    </row>
    <row r="1280" spans="1:10" x14ac:dyDescent="0.2">
      <c r="A1280" s="12">
        <v>44959</v>
      </c>
      <c r="C1280" s="2" t="s">
        <v>27</v>
      </c>
      <c r="D1280" s="1" t="s">
        <v>9</v>
      </c>
      <c r="F1280" s="3">
        <v>150000</v>
      </c>
      <c r="G1280" s="9">
        <f t="shared" si="25"/>
        <v>1237559</v>
      </c>
      <c r="J1280" s="9"/>
    </row>
    <row r="1281" spans="1:10" x14ac:dyDescent="0.2">
      <c r="A1281" s="12">
        <v>44963</v>
      </c>
      <c r="C1281" s="2" t="s">
        <v>864</v>
      </c>
      <c r="D1281" s="1" t="s">
        <v>9</v>
      </c>
      <c r="E1281" s="3">
        <v>75000</v>
      </c>
      <c r="G1281" s="9">
        <f t="shared" si="25"/>
        <v>1312559</v>
      </c>
      <c r="J1281" s="9"/>
    </row>
    <row r="1282" spans="1:10" x14ac:dyDescent="0.2">
      <c r="A1282" s="12">
        <v>44963</v>
      </c>
      <c r="C1282" s="2" t="s">
        <v>865</v>
      </c>
      <c r="D1282" s="1" t="s">
        <v>9</v>
      </c>
      <c r="E1282" s="3">
        <f>30208+165938+285171+324618+60024+64679</f>
        <v>930638</v>
      </c>
      <c r="G1282" s="9">
        <f t="shared" si="25"/>
        <v>2243197</v>
      </c>
      <c r="I1282" s="9">
        <f>I1279-G1279</f>
        <v>0</v>
      </c>
    </row>
    <row r="1283" spans="1:10" x14ac:dyDescent="0.2">
      <c r="A1283" s="12">
        <v>44964</v>
      </c>
      <c r="C1283" s="2" t="s">
        <v>866</v>
      </c>
      <c r="D1283" s="1" t="s">
        <v>9</v>
      </c>
      <c r="E1283" s="3">
        <f>1059015+99032+1411330</f>
        <v>2569377</v>
      </c>
      <c r="G1283" s="9">
        <f t="shared" si="25"/>
        <v>4812574</v>
      </c>
    </row>
    <row r="1284" spans="1:10" x14ac:dyDescent="0.2">
      <c r="A1284" s="12">
        <v>44964</v>
      </c>
      <c r="C1284" s="2" t="s">
        <v>35</v>
      </c>
      <c r="D1284" s="1" t="s">
        <v>9</v>
      </c>
      <c r="F1284" s="3">
        <v>6600</v>
      </c>
      <c r="G1284" s="9">
        <f t="shared" si="25"/>
        <v>4805974</v>
      </c>
    </row>
    <row r="1285" spans="1:10" x14ac:dyDescent="0.2">
      <c r="A1285" s="12">
        <v>44964</v>
      </c>
      <c r="C1285" s="2" t="s">
        <v>35</v>
      </c>
      <c r="D1285" s="1" t="s">
        <v>9</v>
      </c>
      <c r="F1285" s="3">
        <v>6600</v>
      </c>
      <c r="G1285" s="9">
        <f t="shared" si="25"/>
        <v>4799374</v>
      </c>
    </row>
    <row r="1286" spans="1:10" x14ac:dyDescent="0.2">
      <c r="A1286" s="20">
        <v>44965</v>
      </c>
      <c r="B1286" s="21" t="s">
        <v>868</v>
      </c>
      <c r="C1286" s="22" t="s">
        <v>150</v>
      </c>
      <c r="D1286" s="21" t="s">
        <v>9</v>
      </c>
      <c r="E1286" s="23"/>
      <c r="F1286" s="23">
        <v>116000</v>
      </c>
      <c r="G1286" s="9">
        <f t="shared" si="25"/>
        <v>4683374</v>
      </c>
    </row>
    <row r="1287" spans="1:10" x14ac:dyDescent="0.2">
      <c r="A1287" s="12">
        <v>44965</v>
      </c>
      <c r="C1287" s="2" t="s">
        <v>61</v>
      </c>
      <c r="D1287" s="1" t="s">
        <v>9</v>
      </c>
      <c r="E1287" s="3">
        <v>44232</v>
      </c>
      <c r="G1287" s="9">
        <f t="shared" si="25"/>
        <v>4727606</v>
      </c>
    </row>
    <row r="1288" spans="1:10" x14ac:dyDescent="0.2">
      <c r="A1288" s="12">
        <v>44966</v>
      </c>
      <c r="C1288" s="2" t="s">
        <v>35</v>
      </c>
      <c r="D1288" s="1" t="s">
        <v>9</v>
      </c>
      <c r="F1288" s="3">
        <v>6600</v>
      </c>
      <c r="G1288" s="9">
        <f t="shared" ref="G1288:G1291" si="26">G1287+E1288-F1288</f>
        <v>4721006</v>
      </c>
    </row>
    <row r="1289" spans="1:10" x14ac:dyDescent="0.2">
      <c r="A1289" s="12">
        <v>44966</v>
      </c>
      <c r="C1289" s="2" t="s">
        <v>35</v>
      </c>
      <c r="D1289" s="1" t="s">
        <v>9</v>
      </c>
      <c r="F1289" s="3">
        <v>6600</v>
      </c>
      <c r="G1289" s="9">
        <f t="shared" si="26"/>
        <v>4714406</v>
      </c>
    </row>
    <row r="1290" spans="1:10" x14ac:dyDescent="0.2">
      <c r="A1290" s="12">
        <v>44967</v>
      </c>
      <c r="C1290" s="2" t="s">
        <v>858</v>
      </c>
      <c r="D1290" s="1" t="s">
        <v>9</v>
      </c>
      <c r="F1290" s="3">
        <f>696200+275</f>
        <v>696475</v>
      </c>
      <c r="G1290" s="9">
        <f t="shared" si="26"/>
        <v>4017931</v>
      </c>
    </row>
    <row r="1291" spans="1:10" x14ac:dyDescent="0.2">
      <c r="A1291" s="12">
        <v>44967</v>
      </c>
      <c r="C1291" s="2" t="s">
        <v>859</v>
      </c>
      <c r="D1291" s="1" t="s">
        <v>9</v>
      </c>
      <c r="F1291" s="3">
        <f>494179+275</f>
        <v>494454</v>
      </c>
      <c r="G1291" s="9">
        <f t="shared" si="26"/>
        <v>3523477</v>
      </c>
    </row>
    <row r="1292" spans="1:10" x14ac:dyDescent="0.2">
      <c r="A1292" s="12">
        <v>44967</v>
      </c>
      <c r="C1292" s="2" t="s">
        <v>860</v>
      </c>
      <c r="D1292" s="1" t="s">
        <v>9</v>
      </c>
      <c r="F1292" s="3">
        <f>880704</f>
        <v>880704</v>
      </c>
      <c r="G1292" s="9">
        <f t="shared" ref="G1292:G1360" si="27">G1291+E1292-F1292</f>
        <v>2642773</v>
      </c>
    </row>
    <row r="1293" spans="1:10" x14ac:dyDescent="0.2">
      <c r="A1293" s="12">
        <v>44967</v>
      </c>
      <c r="C1293" s="2" t="s">
        <v>861</v>
      </c>
      <c r="D1293" s="1" t="s">
        <v>9</v>
      </c>
      <c r="F1293" s="3">
        <f>124876</f>
        <v>124876</v>
      </c>
      <c r="G1293" s="9">
        <f t="shared" si="27"/>
        <v>2517897</v>
      </c>
    </row>
    <row r="1294" spans="1:10" x14ac:dyDescent="0.2">
      <c r="A1294" s="12">
        <v>44967</v>
      </c>
      <c r="C1294" s="2" t="s">
        <v>862</v>
      </c>
      <c r="D1294" s="1" t="s">
        <v>9</v>
      </c>
      <c r="F1294" s="3">
        <f>106200+275</f>
        <v>106475</v>
      </c>
      <c r="G1294" s="9">
        <f t="shared" si="27"/>
        <v>2411422</v>
      </c>
    </row>
    <row r="1295" spans="1:10" x14ac:dyDescent="0.2">
      <c r="A1295" s="12">
        <v>44967</v>
      </c>
      <c r="C1295" s="2" t="s">
        <v>863</v>
      </c>
      <c r="D1295" s="1" t="s">
        <v>9</v>
      </c>
      <c r="F1295" s="3">
        <f>659722+275</f>
        <v>659997</v>
      </c>
      <c r="G1295" s="9">
        <f t="shared" si="27"/>
        <v>1751425</v>
      </c>
    </row>
    <row r="1296" spans="1:10" x14ac:dyDescent="0.2">
      <c r="A1296" s="12">
        <v>44967</v>
      </c>
      <c r="C1296" s="2" t="s">
        <v>820</v>
      </c>
      <c r="D1296" s="1" t="s">
        <v>9</v>
      </c>
      <c r="F1296" s="3">
        <f>162500+275</f>
        <v>162775</v>
      </c>
      <c r="G1296" s="9">
        <f t="shared" si="27"/>
        <v>1588650</v>
      </c>
    </row>
    <row r="1297" spans="1:7" x14ac:dyDescent="0.2">
      <c r="A1297" s="12">
        <v>44967</v>
      </c>
      <c r="C1297" s="2" t="s">
        <v>706</v>
      </c>
      <c r="D1297" s="1" t="s">
        <v>9</v>
      </c>
      <c r="F1297" s="3">
        <f>470684</f>
        <v>470684</v>
      </c>
      <c r="G1297" s="9">
        <f t="shared" si="27"/>
        <v>1117966</v>
      </c>
    </row>
    <row r="1298" spans="1:7" x14ac:dyDescent="0.2">
      <c r="A1298" s="12">
        <v>44967</v>
      </c>
      <c r="C1298" s="2" t="s">
        <v>867</v>
      </c>
      <c r="D1298" s="1" t="s">
        <v>9</v>
      </c>
      <c r="F1298" s="3">
        <f>2266673+70062</f>
        <v>2336735</v>
      </c>
      <c r="G1298" s="9">
        <f t="shared" si="27"/>
        <v>-1218769</v>
      </c>
    </row>
    <row r="1299" spans="1:7" x14ac:dyDescent="0.2">
      <c r="A1299" s="12">
        <v>44967</v>
      </c>
      <c r="C1299" s="2" t="s">
        <v>869</v>
      </c>
      <c r="D1299" s="1" t="s">
        <v>9</v>
      </c>
      <c r="E1299" s="3">
        <f>267624+432588+97350+3186+58410+266812</f>
        <v>1125970</v>
      </c>
      <c r="G1299" s="9">
        <f t="shared" si="27"/>
        <v>-92799</v>
      </c>
    </row>
    <row r="1300" spans="1:7" x14ac:dyDescent="0.2">
      <c r="A1300" s="12">
        <v>44967</v>
      </c>
      <c r="C1300" s="2" t="s">
        <v>870</v>
      </c>
      <c r="D1300" s="1" t="s">
        <v>9</v>
      </c>
      <c r="F1300" s="3">
        <f>691266+275</f>
        <v>691541</v>
      </c>
      <c r="G1300" s="9">
        <f t="shared" si="27"/>
        <v>-784340</v>
      </c>
    </row>
    <row r="1301" spans="1:7" x14ac:dyDescent="0.2">
      <c r="A1301" s="12">
        <v>44967</v>
      </c>
      <c r="C1301" s="2" t="s">
        <v>871</v>
      </c>
      <c r="D1301" s="1" t="s">
        <v>9</v>
      </c>
      <c r="E1301" s="3">
        <v>500000</v>
      </c>
      <c r="G1301" s="9">
        <f t="shared" si="27"/>
        <v>-284340</v>
      </c>
    </row>
    <row r="1302" spans="1:7" x14ac:dyDescent="0.2">
      <c r="A1302" s="12">
        <v>44967</v>
      </c>
      <c r="C1302" s="2" t="s">
        <v>783</v>
      </c>
      <c r="D1302" s="1" t="s">
        <v>9</v>
      </c>
      <c r="E1302" s="3">
        <v>166913</v>
      </c>
      <c r="G1302" s="9">
        <f t="shared" si="27"/>
        <v>-117427</v>
      </c>
    </row>
    <row r="1303" spans="1:7" x14ac:dyDescent="0.2">
      <c r="A1303" s="12">
        <v>44970</v>
      </c>
      <c r="C1303" s="2" t="s">
        <v>872</v>
      </c>
      <c r="D1303" s="1" t="s">
        <v>9</v>
      </c>
      <c r="E1303" s="3">
        <f>131924+380432+3439600</f>
        <v>3951956</v>
      </c>
      <c r="G1303" s="9">
        <f t="shared" si="27"/>
        <v>3834529</v>
      </c>
    </row>
    <row r="1304" spans="1:7" x14ac:dyDescent="0.2">
      <c r="A1304" s="12">
        <v>44971</v>
      </c>
      <c r="C1304" s="2" t="s">
        <v>873</v>
      </c>
      <c r="D1304" s="1" t="s">
        <v>9</v>
      </c>
      <c r="F1304" s="3">
        <f>4272373+109676</f>
        <v>4382049</v>
      </c>
      <c r="G1304" s="9">
        <f t="shared" si="27"/>
        <v>-547520</v>
      </c>
    </row>
    <row r="1305" spans="1:7" x14ac:dyDescent="0.2">
      <c r="A1305" s="12">
        <v>44971</v>
      </c>
      <c r="C1305" s="2" t="s">
        <v>18</v>
      </c>
      <c r="D1305" s="1" t="s">
        <v>9</v>
      </c>
      <c r="E1305" s="3">
        <v>130220</v>
      </c>
      <c r="G1305" s="9">
        <f t="shared" si="27"/>
        <v>-417300</v>
      </c>
    </row>
    <row r="1306" spans="1:7" x14ac:dyDescent="0.2">
      <c r="A1306" s="20">
        <v>44972</v>
      </c>
      <c r="B1306" s="21"/>
      <c r="C1306" s="22" t="s">
        <v>874</v>
      </c>
      <c r="D1306" s="21" t="s">
        <v>9</v>
      </c>
      <c r="E1306" s="23">
        <f>235705+238360+982059+159969+172516</f>
        <v>1788609</v>
      </c>
      <c r="F1306" s="23"/>
      <c r="G1306" s="9">
        <f t="shared" si="27"/>
        <v>1371309</v>
      </c>
    </row>
    <row r="1307" spans="1:7" x14ac:dyDescent="0.2">
      <c r="A1307" s="20">
        <v>44973</v>
      </c>
      <c r="B1307" s="21" t="s">
        <v>875</v>
      </c>
      <c r="C1307" s="22" t="s">
        <v>700</v>
      </c>
      <c r="D1307" s="21" t="s">
        <v>9</v>
      </c>
      <c r="E1307" s="23"/>
      <c r="F1307" s="23">
        <v>165000</v>
      </c>
      <c r="G1307" s="9">
        <f t="shared" si="27"/>
        <v>1206309</v>
      </c>
    </row>
    <row r="1308" spans="1:7" x14ac:dyDescent="0.2">
      <c r="A1308" s="20">
        <v>44973</v>
      </c>
      <c r="B1308" s="21" t="s">
        <v>876</v>
      </c>
      <c r="C1308" s="22" t="s">
        <v>724</v>
      </c>
      <c r="D1308" s="21" t="s">
        <v>9</v>
      </c>
      <c r="E1308" s="23"/>
      <c r="F1308" s="23">
        <v>600000</v>
      </c>
      <c r="G1308" s="9">
        <f t="shared" si="27"/>
        <v>606309</v>
      </c>
    </row>
    <row r="1309" spans="1:7" x14ac:dyDescent="0.2">
      <c r="A1309" s="12">
        <v>44977</v>
      </c>
      <c r="C1309" s="2" t="s">
        <v>505</v>
      </c>
      <c r="D1309" s="1" t="s">
        <v>9</v>
      </c>
      <c r="E1309" s="3">
        <v>113135</v>
      </c>
      <c r="G1309" s="9">
        <f t="shared" si="27"/>
        <v>719444</v>
      </c>
    </row>
    <row r="1310" spans="1:7" x14ac:dyDescent="0.2">
      <c r="A1310" s="20">
        <v>44979</v>
      </c>
      <c r="B1310" s="21"/>
      <c r="C1310" s="22" t="s">
        <v>886</v>
      </c>
      <c r="D1310" s="21" t="s">
        <v>9</v>
      </c>
      <c r="E1310" s="23">
        <v>686222</v>
      </c>
      <c r="G1310" s="9">
        <f t="shared" si="27"/>
        <v>1405666</v>
      </c>
    </row>
    <row r="1311" spans="1:7" x14ac:dyDescent="0.2">
      <c r="A1311" s="20">
        <v>44979</v>
      </c>
      <c r="B1311" s="21"/>
      <c r="C1311" s="22" t="s">
        <v>887</v>
      </c>
      <c r="D1311" s="21" t="s">
        <v>9</v>
      </c>
      <c r="E1311" s="23">
        <f>41374+33501+51401+62127+99297+314088+664446+1407858+136823+124608</f>
        <v>2935523</v>
      </c>
      <c r="G1311" s="9">
        <f t="shared" si="27"/>
        <v>4341189</v>
      </c>
    </row>
    <row r="1312" spans="1:7" x14ac:dyDescent="0.2">
      <c r="A1312" s="12">
        <v>44981</v>
      </c>
      <c r="C1312" s="2" t="s">
        <v>879</v>
      </c>
      <c r="D1312" s="1" t="s">
        <v>9</v>
      </c>
      <c r="E1312" s="3">
        <v>722160</v>
      </c>
      <c r="G1312" s="9">
        <f t="shared" si="27"/>
        <v>5063349</v>
      </c>
    </row>
    <row r="1313" spans="1:9" x14ac:dyDescent="0.2">
      <c r="A1313" s="20">
        <v>44984</v>
      </c>
      <c r="B1313" s="21"/>
      <c r="C1313" s="22" t="s">
        <v>888</v>
      </c>
      <c r="D1313" s="21" t="s">
        <v>9</v>
      </c>
      <c r="E1313" s="23"/>
      <c r="F1313" s="23">
        <f>1805456+60958</f>
        <v>1866414</v>
      </c>
      <c r="G1313" s="9">
        <f t="shared" si="27"/>
        <v>3196935</v>
      </c>
    </row>
    <row r="1314" spans="1:9" x14ac:dyDescent="0.2">
      <c r="A1314" s="20">
        <v>44984</v>
      </c>
      <c r="B1314" s="21" t="s">
        <v>877</v>
      </c>
      <c r="C1314" s="22" t="s">
        <v>777</v>
      </c>
      <c r="D1314" s="21" t="s">
        <v>9</v>
      </c>
      <c r="E1314" s="23"/>
      <c r="F1314" s="23">
        <v>335000</v>
      </c>
      <c r="G1314" s="9">
        <f t="shared" si="27"/>
        <v>2861935</v>
      </c>
    </row>
    <row r="1315" spans="1:9" x14ac:dyDescent="0.2">
      <c r="A1315" s="20">
        <v>44984</v>
      </c>
      <c r="B1315" s="21" t="s">
        <v>878</v>
      </c>
      <c r="C1315" s="22" t="s">
        <v>889</v>
      </c>
      <c r="D1315" s="21" t="s">
        <v>9</v>
      </c>
      <c r="E1315" s="23"/>
      <c r="F1315" s="23">
        <v>630100</v>
      </c>
      <c r="G1315" s="9">
        <f t="shared" si="27"/>
        <v>2231835</v>
      </c>
    </row>
    <row r="1316" spans="1:9" x14ac:dyDescent="0.2">
      <c r="A1316" s="20">
        <v>44620</v>
      </c>
      <c r="B1316" s="21"/>
      <c r="C1316" s="22" t="s">
        <v>979</v>
      </c>
      <c r="D1316" s="21" t="s">
        <v>9</v>
      </c>
      <c r="E1316" s="23"/>
      <c r="F1316" s="23">
        <v>40913</v>
      </c>
      <c r="G1316" s="9">
        <f t="shared" si="27"/>
        <v>2190922</v>
      </c>
    </row>
    <row r="1317" spans="1:9" x14ac:dyDescent="0.2">
      <c r="A1317" s="12">
        <v>44985</v>
      </c>
      <c r="C1317" s="2" t="s">
        <v>880</v>
      </c>
      <c r="D1317" s="1" t="s">
        <v>9</v>
      </c>
      <c r="F1317" s="3">
        <v>2935119</v>
      </c>
      <c r="G1317" s="9">
        <f t="shared" si="27"/>
        <v>-744197</v>
      </c>
    </row>
    <row r="1318" spans="1:9" x14ac:dyDescent="0.2">
      <c r="A1318" s="12">
        <v>44985</v>
      </c>
      <c r="C1318" s="2" t="s">
        <v>34</v>
      </c>
      <c r="D1318" s="1" t="s">
        <v>9</v>
      </c>
      <c r="F1318" s="3">
        <v>550</v>
      </c>
      <c r="G1318" s="9">
        <f t="shared" si="27"/>
        <v>-744747</v>
      </c>
    </row>
    <row r="1319" spans="1:9" x14ac:dyDescent="0.2">
      <c r="A1319" s="12">
        <v>44985</v>
      </c>
      <c r="C1319" s="2" t="s">
        <v>27</v>
      </c>
      <c r="D1319" s="1" t="s">
        <v>9</v>
      </c>
      <c r="F1319" s="3">
        <v>150000</v>
      </c>
      <c r="G1319" s="9">
        <f t="shared" si="27"/>
        <v>-894747</v>
      </c>
    </row>
    <row r="1320" spans="1:9" s="28" customFormat="1" ht="15.75" x14ac:dyDescent="0.25">
      <c r="A1320" s="10" t="s">
        <v>881</v>
      </c>
      <c r="B1320" s="1"/>
      <c r="C1320" s="2"/>
      <c r="D1320" s="1"/>
      <c r="E1320" s="3"/>
      <c r="F1320" s="3"/>
      <c r="G1320" s="8"/>
      <c r="H1320" s="27"/>
      <c r="I1320" s="26"/>
    </row>
    <row r="1321" spans="1:9" s="28" customFormat="1" x14ac:dyDescent="0.2">
      <c r="A1321" s="11" t="s">
        <v>2</v>
      </c>
      <c r="B1321" s="5" t="s">
        <v>1</v>
      </c>
      <c r="C1321" s="5" t="s">
        <v>3</v>
      </c>
      <c r="D1321" s="5"/>
      <c r="E1321" s="7" t="s">
        <v>4</v>
      </c>
      <c r="F1321" s="7" t="s">
        <v>6</v>
      </c>
      <c r="G1321" s="8" t="s">
        <v>5</v>
      </c>
      <c r="H1321" s="27"/>
      <c r="I1321" s="26"/>
    </row>
    <row r="1322" spans="1:9" x14ac:dyDescent="0.2">
      <c r="A1322" s="20">
        <v>44986</v>
      </c>
      <c r="B1322" s="21"/>
      <c r="C1322" s="22" t="s">
        <v>885</v>
      </c>
      <c r="D1322" s="21" t="s">
        <v>9</v>
      </c>
      <c r="E1322" s="23">
        <f>12748077+168504+131924+61549+67703+109327+334131</f>
        <v>13621215</v>
      </c>
      <c r="F1322" s="23"/>
      <c r="G1322" s="9">
        <f>G1319+E1322-F1322</f>
        <v>12726468</v>
      </c>
    </row>
    <row r="1323" spans="1:9" x14ac:dyDescent="0.2">
      <c r="A1323" s="20">
        <v>44987</v>
      </c>
      <c r="B1323" s="21"/>
      <c r="C1323" s="22" t="s">
        <v>884</v>
      </c>
      <c r="D1323" s="21" t="s">
        <v>9</v>
      </c>
      <c r="E1323" s="23">
        <f>593920+110802+63189+8124</f>
        <v>776035</v>
      </c>
      <c r="F1323" s="23"/>
      <c r="G1323" s="9">
        <f t="shared" si="27"/>
        <v>13502503</v>
      </c>
    </row>
    <row r="1324" spans="1:9" x14ac:dyDescent="0.2">
      <c r="A1324" s="12">
        <v>44987</v>
      </c>
      <c r="C1324" s="2" t="s">
        <v>882</v>
      </c>
      <c r="D1324" s="25" t="s">
        <v>9</v>
      </c>
      <c r="F1324" s="3">
        <f>3431423+93072</f>
        <v>3524495</v>
      </c>
      <c r="G1324" s="9">
        <f t="shared" si="27"/>
        <v>9978008</v>
      </c>
    </row>
    <row r="1325" spans="1:9" x14ac:dyDescent="0.2">
      <c r="A1325" s="12">
        <v>44987</v>
      </c>
      <c r="C1325" s="2" t="s">
        <v>883</v>
      </c>
      <c r="D1325" s="1" t="s">
        <v>9</v>
      </c>
      <c r="E1325" s="3">
        <f>294440+70210+1946750</f>
        <v>2311400</v>
      </c>
      <c r="G1325" s="9">
        <f t="shared" si="27"/>
        <v>12289408</v>
      </c>
    </row>
    <row r="1326" spans="1:9" x14ac:dyDescent="0.2">
      <c r="A1326" s="12">
        <v>44988</v>
      </c>
      <c r="C1326" s="2" t="s">
        <v>84</v>
      </c>
      <c r="D1326" s="1" t="s">
        <v>9</v>
      </c>
      <c r="F1326" s="3">
        <v>487589</v>
      </c>
      <c r="G1326" s="9">
        <f t="shared" si="27"/>
        <v>11801819</v>
      </c>
    </row>
    <row r="1327" spans="1:9" x14ac:dyDescent="0.2">
      <c r="A1327" s="12">
        <v>44991</v>
      </c>
      <c r="C1327" s="2" t="s">
        <v>890</v>
      </c>
      <c r="D1327" s="1" t="s">
        <v>9</v>
      </c>
      <c r="F1327" s="3">
        <v>1254241</v>
      </c>
      <c r="G1327" s="9">
        <f t="shared" si="27"/>
        <v>10547578</v>
      </c>
    </row>
    <row r="1328" spans="1:9" x14ac:dyDescent="0.2">
      <c r="A1328" s="12">
        <v>44991</v>
      </c>
      <c r="C1328" s="2" t="s">
        <v>377</v>
      </c>
      <c r="D1328" s="1" t="s">
        <v>9</v>
      </c>
      <c r="E1328" s="3">
        <v>1200000</v>
      </c>
      <c r="G1328" s="9">
        <f t="shared" si="27"/>
        <v>11747578</v>
      </c>
    </row>
    <row r="1329" spans="1:7" x14ac:dyDescent="0.2">
      <c r="A1329" s="12">
        <v>44991</v>
      </c>
      <c r="C1329" s="2" t="s">
        <v>893</v>
      </c>
      <c r="D1329" s="1" t="s">
        <v>9</v>
      </c>
      <c r="E1329" s="3">
        <f>50041+810960</f>
        <v>861001</v>
      </c>
      <c r="G1329" s="9">
        <f t="shared" si="27"/>
        <v>12608579</v>
      </c>
    </row>
    <row r="1330" spans="1:7" x14ac:dyDescent="0.2">
      <c r="A1330" s="12">
        <v>44991</v>
      </c>
      <c r="C1330" s="2" t="s">
        <v>528</v>
      </c>
      <c r="D1330" s="1" t="s">
        <v>9</v>
      </c>
      <c r="F1330" s="3">
        <v>5000</v>
      </c>
      <c r="G1330" s="9">
        <f t="shared" si="27"/>
        <v>12603579</v>
      </c>
    </row>
    <row r="1331" spans="1:7" x14ac:dyDescent="0.2">
      <c r="A1331" s="12">
        <v>44991</v>
      </c>
      <c r="C1331" s="2" t="s">
        <v>53</v>
      </c>
      <c r="D1331" s="1" t="s">
        <v>9</v>
      </c>
      <c r="F1331" s="3">
        <v>100</v>
      </c>
      <c r="G1331" s="9">
        <f t="shared" si="27"/>
        <v>12603479</v>
      </c>
    </row>
    <row r="1332" spans="1:7" x14ac:dyDescent="0.2">
      <c r="A1332" s="12">
        <v>44992</v>
      </c>
      <c r="B1332" s="1" t="s">
        <v>894</v>
      </c>
      <c r="C1332" s="2" t="s">
        <v>154</v>
      </c>
      <c r="D1332" s="1" t="s">
        <v>9</v>
      </c>
      <c r="F1332" s="3">
        <v>354555</v>
      </c>
      <c r="G1332" s="9">
        <f t="shared" si="27"/>
        <v>12248924</v>
      </c>
    </row>
    <row r="1333" spans="1:7" x14ac:dyDescent="0.2">
      <c r="A1333" s="12">
        <v>44992</v>
      </c>
      <c r="C1333" s="2" t="s">
        <v>505</v>
      </c>
      <c r="D1333" s="1" t="s">
        <v>9</v>
      </c>
      <c r="E1333" s="3">
        <v>9138</v>
      </c>
      <c r="G1333" s="9">
        <f t="shared" si="27"/>
        <v>12258062</v>
      </c>
    </row>
    <row r="1334" spans="1:7" x14ac:dyDescent="0.2">
      <c r="A1334" s="12">
        <v>44993</v>
      </c>
      <c r="C1334" s="2" t="s">
        <v>895</v>
      </c>
      <c r="D1334" s="1" t="s">
        <v>9</v>
      </c>
      <c r="E1334" s="3">
        <f>1887434+99391+41725+570176</f>
        <v>2598726</v>
      </c>
      <c r="G1334" s="9">
        <f t="shared" si="27"/>
        <v>14856788</v>
      </c>
    </row>
    <row r="1335" spans="1:7" x14ac:dyDescent="0.2">
      <c r="A1335" s="12">
        <v>44993</v>
      </c>
      <c r="C1335" s="2" t="s">
        <v>891</v>
      </c>
      <c r="D1335" s="1" t="s">
        <v>9</v>
      </c>
      <c r="F1335" s="3">
        <f>6240978+148563</f>
        <v>6389541</v>
      </c>
      <c r="G1335" s="9">
        <f t="shared" si="27"/>
        <v>8467247</v>
      </c>
    </row>
    <row r="1336" spans="1:7" x14ac:dyDescent="0.2">
      <c r="A1336" s="12">
        <v>44993</v>
      </c>
      <c r="C1336" s="2" t="s">
        <v>892</v>
      </c>
      <c r="D1336" s="1" t="s">
        <v>9</v>
      </c>
      <c r="F1336" s="3">
        <f>1771838+60293</f>
        <v>1832131</v>
      </c>
      <c r="G1336" s="9">
        <f t="shared" si="27"/>
        <v>6635116</v>
      </c>
    </row>
    <row r="1337" spans="1:7" x14ac:dyDescent="0.2">
      <c r="A1337" s="12">
        <v>44993</v>
      </c>
      <c r="C1337" s="2" t="s">
        <v>896</v>
      </c>
      <c r="D1337" s="1" t="s">
        <v>9</v>
      </c>
      <c r="F1337" s="3">
        <f>5053185</f>
        <v>5053185</v>
      </c>
      <c r="G1337" s="9">
        <f t="shared" si="27"/>
        <v>1581931</v>
      </c>
    </row>
    <row r="1338" spans="1:7" x14ac:dyDescent="0.2">
      <c r="A1338" s="12">
        <v>44995</v>
      </c>
      <c r="C1338" s="2" t="s">
        <v>528</v>
      </c>
      <c r="D1338" s="1" t="s">
        <v>9</v>
      </c>
      <c r="F1338" s="3">
        <v>5000</v>
      </c>
      <c r="G1338" s="9">
        <f t="shared" si="27"/>
        <v>1576931</v>
      </c>
    </row>
    <row r="1339" spans="1:7" x14ac:dyDescent="0.2">
      <c r="A1339" s="12">
        <v>44995</v>
      </c>
      <c r="C1339" s="2" t="s">
        <v>528</v>
      </c>
      <c r="D1339" s="1" t="s">
        <v>9</v>
      </c>
      <c r="F1339" s="3">
        <v>5000</v>
      </c>
      <c r="G1339" s="9">
        <f t="shared" si="27"/>
        <v>1571931</v>
      </c>
    </row>
    <row r="1340" spans="1:7" x14ac:dyDescent="0.2">
      <c r="A1340" s="12">
        <v>44995</v>
      </c>
      <c r="C1340" s="2" t="s">
        <v>528</v>
      </c>
      <c r="D1340" s="1" t="s">
        <v>9</v>
      </c>
      <c r="F1340" s="3">
        <v>5000</v>
      </c>
      <c r="G1340" s="9">
        <f t="shared" si="27"/>
        <v>1566931</v>
      </c>
    </row>
    <row r="1341" spans="1:7" x14ac:dyDescent="0.2">
      <c r="A1341" s="12">
        <v>44995</v>
      </c>
      <c r="C1341" s="2" t="s">
        <v>711</v>
      </c>
      <c r="D1341" s="1" t="s">
        <v>9</v>
      </c>
      <c r="F1341" s="3">
        <v>65106</v>
      </c>
      <c r="G1341" s="9">
        <f t="shared" si="27"/>
        <v>1501825</v>
      </c>
    </row>
    <row r="1342" spans="1:7" x14ac:dyDescent="0.2">
      <c r="A1342" s="12">
        <v>44995</v>
      </c>
      <c r="C1342" s="2" t="s">
        <v>829</v>
      </c>
      <c r="D1342" s="1" t="s">
        <v>9</v>
      </c>
      <c r="F1342" s="3">
        <v>21600</v>
      </c>
      <c r="G1342" s="9">
        <f t="shared" si="27"/>
        <v>1480225</v>
      </c>
    </row>
    <row r="1343" spans="1:7" x14ac:dyDescent="0.2">
      <c r="A1343" s="12">
        <v>44995</v>
      </c>
      <c r="C1343" s="2" t="s">
        <v>897</v>
      </c>
      <c r="D1343" s="1" t="s">
        <v>9</v>
      </c>
      <c r="F1343" s="3">
        <v>6508471</v>
      </c>
      <c r="G1343" s="9">
        <f t="shared" si="27"/>
        <v>-5028246</v>
      </c>
    </row>
    <row r="1344" spans="1:7" x14ac:dyDescent="0.2">
      <c r="A1344" s="12">
        <v>44998</v>
      </c>
      <c r="B1344" s="1" t="s">
        <v>905</v>
      </c>
      <c r="C1344" s="2" t="s">
        <v>700</v>
      </c>
      <c r="D1344" s="1" t="s">
        <v>9</v>
      </c>
      <c r="F1344" s="3">
        <v>165000</v>
      </c>
      <c r="G1344" s="9">
        <f t="shared" si="27"/>
        <v>-5193246</v>
      </c>
    </row>
    <row r="1345" spans="1:7" x14ac:dyDescent="0.2">
      <c r="A1345" s="12">
        <v>44998</v>
      </c>
      <c r="C1345" s="2" t="s">
        <v>137</v>
      </c>
      <c r="D1345" s="1" t="s">
        <v>9</v>
      </c>
      <c r="E1345" s="3">
        <v>471160</v>
      </c>
      <c r="G1345" s="9">
        <f t="shared" si="27"/>
        <v>-4722086</v>
      </c>
    </row>
    <row r="1346" spans="1:7" x14ac:dyDescent="0.2">
      <c r="A1346" s="12">
        <v>44998</v>
      </c>
      <c r="C1346" s="2" t="s">
        <v>906</v>
      </c>
      <c r="D1346" s="1" t="s">
        <v>9</v>
      </c>
      <c r="E1346" s="3">
        <v>770547</v>
      </c>
      <c r="G1346" s="9">
        <f t="shared" si="27"/>
        <v>-3951539</v>
      </c>
    </row>
    <row r="1347" spans="1:7" x14ac:dyDescent="0.2">
      <c r="A1347" s="12">
        <v>44999</v>
      </c>
      <c r="C1347" s="2" t="s">
        <v>898</v>
      </c>
      <c r="D1347" s="1" t="s">
        <v>9</v>
      </c>
      <c r="F1347" s="3">
        <f>135585</f>
        <v>135585</v>
      </c>
      <c r="G1347" s="9">
        <f t="shared" si="27"/>
        <v>-4087124</v>
      </c>
    </row>
    <row r="1348" spans="1:7" x14ac:dyDescent="0.2">
      <c r="A1348" s="12">
        <v>44999</v>
      </c>
      <c r="C1348" s="2" t="s">
        <v>899</v>
      </c>
      <c r="D1348" s="1" t="s">
        <v>9</v>
      </c>
      <c r="F1348" s="3">
        <f>127912+275</f>
        <v>128187</v>
      </c>
      <c r="G1348" s="9">
        <f t="shared" si="27"/>
        <v>-4215311</v>
      </c>
    </row>
    <row r="1349" spans="1:7" x14ac:dyDescent="0.2">
      <c r="A1349" s="12">
        <v>44999</v>
      </c>
      <c r="C1349" s="2" t="s">
        <v>706</v>
      </c>
      <c r="D1349" s="1" t="s">
        <v>9</v>
      </c>
      <c r="F1349" s="3">
        <f>470684+275</f>
        <v>470959</v>
      </c>
      <c r="G1349" s="9">
        <f t="shared" si="27"/>
        <v>-4686270</v>
      </c>
    </row>
    <row r="1350" spans="1:7" x14ac:dyDescent="0.2">
      <c r="A1350" s="12">
        <v>44999</v>
      </c>
      <c r="C1350" s="2" t="s">
        <v>900</v>
      </c>
      <c r="D1350" s="1" t="s">
        <v>9</v>
      </c>
      <c r="F1350" s="3">
        <f>66438+275</f>
        <v>66713</v>
      </c>
      <c r="G1350" s="9">
        <f t="shared" si="27"/>
        <v>-4752983</v>
      </c>
    </row>
    <row r="1351" spans="1:7" x14ac:dyDescent="0.2">
      <c r="A1351" s="12">
        <v>44999</v>
      </c>
      <c r="C1351" s="2" t="s">
        <v>901</v>
      </c>
      <c r="D1351" s="1" t="s">
        <v>9</v>
      </c>
      <c r="F1351" s="3">
        <f>44777</f>
        <v>44777</v>
      </c>
      <c r="G1351" s="9">
        <f t="shared" si="27"/>
        <v>-4797760</v>
      </c>
    </row>
    <row r="1352" spans="1:7" x14ac:dyDescent="0.2">
      <c r="A1352" s="12">
        <v>44999</v>
      </c>
      <c r="C1352" s="2" t="s">
        <v>902</v>
      </c>
      <c r="D1352" s="1" t="s">
        <v>9</v>
      </c>
      <c r="F1352" s="3">
        <f>82128+275</f>
        <v>82403</v>
      </c>
      <c r="G1352" s="9">
        <f t="shared" si="27"/>
        <v>-4880163</v>
      </c>
    </row>
    <row r="1353" spans="1:7" x14ac:dyDescent="0.2">
      <c r="A1353" s="12">
        <v>44999</v>
      </c>
      <c r="C1353" s="2" t="s">
        <v>903</v>
      </c>
      <c r="D1353" s="1" t="s">
        <v>9</v>
      </c>
      <c r="F1353" s="3">
        <f>548665+275</f>
        <v>548940</v>
      </c>
      <c r="G1353" s="9">
        <f t="shared" si="27"/>
        <v>-5429103</v>
      </c>
    </row>
    <row r="1354" spans="1:7" x14ac:dyDescent="0.2">
      <c r="A1354" s="12">
        <v>44999</v>
      </c>
      <c r="C1354" s="2" t="s">
        <v>904</v>
      </c>
      <c r="D1354" s="1" t="s">
        <v>9</v>
      </c>
      <c r="E1354" s="3">
        <f>128950+202746+24304+226139+394667</f>
        <v>976806</v>
      </c>
      <c r="G1354" s="9">
        <f t="shared" si="27"/>
        <v>-4452297</v>
      </c>
    </row>
    <row r="1355" spans="1:7" x14ac:dyDescent="0.2">
      <c r="A1355" s="12">
        <v>44999</v>
      </c>
      <c r="C1355" s="2" t="s">
        <v>701</v>
      </c>
      <c r="D1355" s="1" t="s">
        <v>9</v>
      </c>
      <c r="E1355" s="3">
        <v>1746476</v>
      </c>
      <c r="G1355" s="9">
        <f t="shared" si="27"/>
        <v>-2705821</v>
      </c>
    </row>
    <row r="1356" spans="1:7" x14ac:dyDescent="0.2">
      <c r="A1356" s="12">
        <v>44999</v>
      </c>
      <c r="C1356" s="2" t="s">
        <v>910</v>
      </c>
      <c r="D1356" s="1" t="s">
        <v>9</v>
      </c>
      <c r="E1356" s="3">
        <f>166498+745630+1172257+600000</f>
        <v>2684385</v>
      </c>
      <c r="G1356" s="9">
        <f t="shared" si="27"/>
        <v>-21436</v>
      </c>
    </row>
    <row r="1357" spans="1:7" x14ac:dyDescent="0.2">
      <c r="A1357" s="12">
        <v>45000</v>
      </c>
      <c r="C1357" s="2" t="s">
        <v>911</v>
      </c>
      <c r="D1357" s="1" t="s">
        <v>9</v>
      </c>
      <c r="E1357" s="3">
        <f>46131+108560+1194800</f>
        <v>1349491</v>
      </c>
      <c r="G1357" s="9">
        <f t="shared" si="27"/>
        <v>1328055</v>
      </c>
    </row>
    <row r="1358" spans="1:7" x14ac:dyDescent="0.2">
      <c r="A1358" s="12">
        <v>45000</v>
      </c>
      <c r="B1358" s="1" t="s">
        <v>914</v>
      </c>
      <c r="C1358" s="22" t="s">
        <v>724</v>
      </c>
      <c r="D1358" s="1" t="s">
        <v>9</v>
      </c>
      <c r="F1358" s="3">
        <v>600000</v>
      </c>
      <c r="G1358" s="9">
        <f t="shared" si="27"/>
        <v>728055</v>
      </c>
    </row>
    <row r="1359" spans="1:7" x14ac:dyDescent="0.2">
      <c r="A1359" s="12">
        <v>45000</v>
      </c>
      <c r="B1359" s="1" t="s">
        <v>913</v>
      </c>
      <c r="C1359" s="2" t="s">
        <v>916</v>
      </c>
      <c r="D1359" s="1" t="s">
        <v>9</v>
      </c>
      <c r="G1359" s="9">
        <f t="shared" si="27"/>
        <v>728055</v>
      </c>
    </row>
    <row r="1360" spans="1:7" x14ac:dyDescent="0.2">
      <c r="A1360" s="12">
        <v>45000</v>
      </c>
      <c r="B1360" s="1" t="s">
        <v>912</v>
      </c>
      <c r="C1360" s="2" t="s">
        <v>915</v>
      </c>
      <c r="D1360" s="1" t="s">
        <v>9</v>
      </c>
      <c r="F1360" s="3">
        <v>410100</v>
      </c>
      <c r="G1360" s="9">
        <f t="shared" si="27"/>
        <v>317955</v>
      </c>
    </row>
    <row r="1361" spans="1:7" x14ac:dyDescent="0.2">
      <c r="A1361" s="12">
        <v>45001</v>
      </c>
      <c r="C1361" s="2" t="s">
        <v>35</v>
      </c>
      <c r="D1361" s="1" t="s">
        <v>9</v>
      </c>
      <c r="F1361" s="3">
        <v>6600</v>
      </c>
      <c r="G1361" s="9">
        <f t="shared" ref="G1361:G1375" si="28">G1360+E1361-F1361</f>
        <v>311355</v>
      </c>
    </row>
    <row r="1362" spans="1:7" x14ac:dyDescent="0.2">
      <c r="A1362" s="12">
        <v>45001</v>
      </c>
      <c r="C1362" s="2" t="s">
        <v>18</v>
      </c>
      <c r="D1362" s="1" t="s">
        <v>9</v>
      </c>
      <c r="E1362" s="3">
        <v>540160</v>
      </c>
      <c r="G1362" s="9">
        <f t="shared" si="28"/>
        <v>851515</v>
      </c>
    </row>
    <row r="1363" spans="1:7" x14ac:dyDescent="0.2">
      <c r="A1363" s="12">
        <v>45002</v>
      </c>
      <c r="C1363" s="2" t="s">
        <v>917</v>
      </c>
      <c r="D1363" s="1" t="s">
        <v>9</v>
      </c>
      <c r="F1363" s="3">
        <f>1542158</f>
        <v>1542158</v>
      </c>
      <c r="G1363" s="9">
        <f t="shared" si="28"/>
        <v>-690643</v>
      </c>
    </row>
    <row r="1364" spans="1:7" x14ac:dyDescent="0.2">
      <c r="A1364" s="12">
        <v>45002</v>
      </c>
      <c r="C1364" s="2" t="s">
        <v>555</v>
      </c>
      <c r="D1364" s="1" t="s">
        <v>9</v>
      </c>
      <c r="E1364" s="3">
        <v>168268</v>
      </c>
      <c r="G1364" s="9">
        <f t="shared" si="28"/>
        <v>-522375</v>
      </c>
    </row>
    <row r="1365" spans="1:7" x14ac:dyDescent="0.2">
      <c r="A1365" s="12">
        <v>45005</v>
      </c>
      <c r="C1365" s="2" t="s">
        <v>918</v>
      </c>
      <c r="D1365" s="1" t="s">
        <v>9</v>
      </c>
      <c r="E1365" s="3">
        <f>64192+218334+954750+335580+450465</f>
        <v>2023321</v>
      </c>
      <c r="G1365" s="9">
        <f t="shared" si="28"/>
        <v>1500946</v>
      </c>
    </row>
    <row r="1366" spans="1:7" x14ac:dyDescent="0.2">
      <c r="A1366" s="12">
        <v>45005</v>
      </c>
      <c r="C1366" s="2" t="s">
        <v>923</v>
      </c>
      <c r="D1366" s="1" t="s">
        <v>9</v>
      </c>
      <c r="E1366" s="3">
        <v>156468</v>
      </c>
      <c r="G1366" s="9">
        <f t="shared" si="28"/>
        <v>1657414</v>
      </c>
    </row>
    <row r="1367" spans="1:7" x14ac:dyDescent="0.2">
      <c r="A1367" s="12">
        <v>45006</v>
      </c>
      <c r="C1367" s="2" t="s">
        <v>919</v>
      </c>
      <c r="D1367" s="1" t="s">
        <v>9</v>
      </c>
      <c r="F1367" s="3">
        <f>1511150</f>
        <v>1511150</v>
      </c>
      <c r="G1367" s="9">
        <f t="shared" si="28"/>
        <v>146264</v>
      </c>
    </row>
    <row r="1368" spans="1:7" x14ac:dyDescent="0.2">
      <c r="A1368" s="12">
        <v>45006</v>
      </c>
      <c r="C1368" s="2" t="s">
        <v>920</v>
      </c>
      <c r="D1368" s="1" t="s">
        <v>9</v>
      </c>
      <c r="F1368" s="3">
        <f>2029018</f>
        <v>2029018</v>
      </c>
      <c r="G1368" s="9">
        <f t="shared" si="28"/>
        <v>-1882754</v>
      </c>
    </row>
    <row r="1369" spans="1:7" x14ac:dyDescent="0.2">
      <c r="A1369" s="12">
        <v>45006</v>
      </c>
      <c r="C1369" s="2" t="s">
        <v>137</v>
      </c>
      <c r="D1369" s="1" t="s">
        <v>9</v>
      </c>
      <c r="E1369" s="3">
        <v>310429</v>
      </c>
      <c r="G1369" s="9">
        <f t="shared" si="28"/>
        <v>-1572325</v>
      </c>
    </row>
    <row r="1370" spans="1:7" x14ac:dyDescent="0.2">
      <c r="A1370" s="12">
        <v>45007</v>
      </c>
      <c r="C1370" s="2" t="s">
        <v>921</v>
      </c>
      <c r="D1370" s="1" t="s">
        <v>9</v>
      </c>
      <c r="E1370" s="3">
        <f>447338+1053431+99034+10988+99697</f>
        <v>1710488</v>
      </c>
      <c r="G1370" s="9">
        <f t="shared" si="28"/>
        <v>138163</v>
      </c>
    </row>
    <row r="1371" spans="1:7" x14ac:dyDescent="0.2">
      <c r="A1371" s="12">
        <v>45007</v>
      </c>
      <c r="C1371" s="2" t="s">
        <v>922</v>
      </c>
      <c r="D1371" s="1" t="s">
        <v>9</v>
      </c>
      <c r="E1371" s="3">
        <f>38020+60180+6269+51153+12939+382320+1999958</f>
        <v>2550839</v>
      </c>
      <c r="G1371" s="9">
        <f t="shared" si="28"/>
        <v>2689002</v>
      </c>
    </row>
    <row r="1372" spans="1:7" x14ac:dyDescent="0.2">
      <c r="A1372" s="12">
        <v>45007</v>
      </c>
      <c r="C1372" s="2" t="s">
        <v>35</v>
      </c>
      <c r="D1372" s="1" t="s">
        <v>9</v>
      </c>
      <c r="F1372" s="3">
        <v>6600</v>
      </c>
      <c r="G1372" s="9">
        <f t="shared" si="28"/>
        <v>2682402</v>
      </c>
    </row>
    <row r="1373" spans="1:7" x14ac:dyDescent="0.2">
      <c r="A1373" s="12">
        <v>45007</v>
      </c>
      <c r="C1373" s="2" t="s">
        <v>924</v>
      </c>
      <c r="D1373" s="1" t="s">
        <v>9</v>
      </c>
      <c r="F1373" s="3">
        <v>64192</v>
      </c>
      <c r="G1373" s="9">
        <f t="shared" si="28"/>
        <v>2618210</v>
      </c>
    </row>
    <row r="1374" spans="1:7" x14ac:dyDescent="0.2">
      <c r="A1374" s="12">
        <v>45008</v>
      </c>
      <c r="C1374" s="2" t="s">
        <v>927</v>
      </c>
      <c r="D1374" s="1" t="s">
        <v>9</v>
      </c>
      <c r="E1374" s="3">
        <v>64192</v>
      </c>
      <c r="G1374" s="9">
        <f t="shared" si="28"/>
        <v>2682402</v>
      </c>
    </row>
    <row r="1375" spans="1:7" x14ac:dyDescent="0.2">
      <c r="A1375" s="12">
        <v>45008</v>
      </c>
      <c r="C1375" s="2" t="s">
        <v>701</v>
      </c>
      <c r="D1375" s="1" t="s">
        <v>9</v>
      </c>
      <c r="E1375" s="3">
        <v>472413</v>
      </c>
      <c r="G1375" s="9">
        <f t="shared" si="28"/>
        <v>3154815</v>
      </c>
    </row>
    <row r="1376" spans="1:7" x14ac:dyDescent="0.2">
      <c r="A1376" s="12">
        <v>45008</v>
      </c>
      <c r="C1376" s="2" t="s">
        <v>926</v>
      </c>
      <c r="D1376" s="1" t="s">
        <v>9</v>
      </c>
      <c r="E1376" s="3">
        <v>1402023</v>
      </c>
      <c r="G1376" s="9">
        <f t="shared" ref="G1376:G1439" si="29">G1375+E1376-F1376</f>
        <v>4556838</v>
      </c>
    </row>
    <row r="1377" spans="1:9" x14ac:dyDescent="0.2">
      <c r="A1377" s="20">
        <v>45009</v>
      </c>
      <c r="B1377" s="21" t="s">
        <v>925</v>
      </c>
      <c r="C1377" s="22" t="s">
        <v>934</v>
      </c>
      <c r="D1377" s="21" t="s">
        <v>9</v>
      </c>
      <c r="E1377" s="23"/>
      <c r="F1377" s="23">
        <v>150000</v>
      </c>
      <c r="G1377" s="9">
        <f t="shared" si="29"/>
        <v>4406838</v>
      </c>
    </row>
    <row r="1378" spans="1:9" x14ac:dyDescent="0.2">
      <c r="A1378" s="12">
        <v>45013</v>
      </c>
      <c r="C1378" s="2" t="s">
        <v>258</v>
      </c>
      <c r="D1378" s="1" t="s">
        <v>9</v>
      </c>
      <c r="E1378" s="3">
        <v>2384750</v>
      </c>
      <c r="G1378" s="9">
        <f t="shared" si="29"/>
        <v>6791588</v>
      </c>
    </row>
    <row r="1379" spans="1:9" x14ac:dyDescent="0.2">
      <c r="A1379" s="12">
        <v>45013</v>
      </c>
      <c r="C1379" s="2" t="s">
        <v>27</v>
      </c>
      <c r="D1379" s="1" t="s">
        <v>9</v>
      </c>
      <c r="F1379" s="3">
        <v>150000</v>
      </c>
      <c r="G1379" s="9">
        <f t="shared" si="29"/>
        <v>6641588</v>
      </c>
    </row>
    <row r="1380" spans="1:9" x14ac:dyDescent="0.2">
      <c r="A1380" s="20">
        <v>45013</v>
      </c>
      <c r="B1380" s="21"/>
      <c r="C1380" s="22" t="s">
        <v>930</v>
      </c>
      <c r="D1380" s="21" t="s">
        <v>9</v>
      </c>
      <c r="E1380" s="23">
        <f>129437+25488+193431+35494+161365+44624+145621+588963</f>
        <v>1324423</v>
      </c>
      <c r="F1380" s="23"/>
      <c r="G1380" s="9">
        <f t="shared" si="29"/>
        <v>7966011</v>
      </c>
    </row>
    <row r="1381" spans="1:9" x14ac:dyDescent="0.2">
      <c r="A1381" s="12">
        <v>45013</v>
      </c>
      <c r="C1381" s="2" t="s">
        <v>497</v>
      </c>
      <c r="D1381" s="1" t="s">
        <v>9</v>
      </c>
      <c r="E1381" s="3">
        <v>438665</v>
      </c>
      <c r="G1381" s="9">
        <f t="shared" si="29"/>
        <v>8404676</v>
      </c>
    </row>
    <row r="1382" spans="1:9" x14ac:dyDescent="0.2">
      <c r="A1382" s="12">
        <v>45014</v>
      </c>
      <c r="C1382" s="2" t="s">
        <v>928</v>
      </c>
      <c r="D1382" s="1" t="s">
        <v>9</v>
      </c>
      <c r="F1382" s="3">
        <f>1106726</f>
        <v>1106726</v>
      </c>
      <c r="G1382" s="9">
        <f t="shared" si="29"/>
        <v>7297950</v>
      </c>
    </row>
    <row r="1383" spans="1:9" x14ac:dyDescent="0.2">
      <c r="A1383" s="12">
        <v>45014</v>
      </c>
      <c r="C1383" s="2" t="s">
        <v>61</v>
      </c>
      <c r="D1383" s="1" t="s">
        <v>9</v>
      </c>
      <c r="E1383" s="3">
        <v>1359360</v>
      </c>
      <c r="G1383" s="9">
        <f t="shared" si="29"/>
        <v>8657310</v>
      </c>
    </row>
    <row r="1384" spans="1:9" x14ac:dyDescent="0.2">
      <c r="A1384" s="12">
        <v>45014</v>
      </c>
      <c r="C1384" s="2" t="s">
        <v>931</v>
      </c>
      <c r="D1384" s="1" t="s">
        <v>9</v>
      </c>
      <c r="E1384" s="3">
        <f>1422942+404747+55224+165672</f>
        <v>2048585</v>
      </c>
      <c r="G1384" s="9">
        <f t="shared" si="29"/>
        <v>10705895</v>
      </c>
    </row>
    <row r="1385" spans="1:9" x14ac:dyDescent="0.2">
      <c r="A1385" s="12">
        <v>45015</v>
      </c>
      <c r="C1385" s="2" t="s">
        <v>61</v>
      </c>
      <c r="D1385" s="1" t="s">
        <v>9</v>
      </c>
      <c r="E1385" s="3">
        <v>287330</v>
      </c>
      <c r="G1385" s="9">
        <f t="shared" si="29"/>
        <v>10993225</v>
      </c>
    </row>
    <row r="1386" spans="1:9" x14ac:dyDescent="0.2">
      <c r="A1386" s="12">
        <v>45016</v>
      </c>
      <c r="C1386" s="2" t="s">
        <v>929</v>
      </c>
      <c r="D1386" s="1" t="s">
        <v>9</v>
      </c>
      <c r="F1386" s="3">
        <v>3240555</v>
      </c>
      <c r="G1386" s="9">
        <f t="shared" si="29"/>
        <v>7752670</v>
      </c>
    </row>
    <row r="1387" spans="1:9" x14ac:dyDescent="0.2">
      <c r="A1387" s="12">
        <v>45016</v>
      </c>
      <c r="C1387" s="2" t="s">
        <v>34</v>
      </c>
      <c r="D1387" s="1" t="s">
        <v>9</v>
      </c>
      <c r="F1387" s="3">
        <v>413</v>
      </c>
      <c r="G1387" s="9">
        <f t="shared" si="29"/>
        <v>7752257</v>
      </c>
    </row>
    <row r="1388" spans="1:9" x14ac:dyDescent="0.2">
      <c r="A1388" s="12">
        <v>45016</v>
      </c>
      <c r="C1388" s="2" t="s">
        <v>933</v>
      </c>
      <c r="D1388" s="1" t="s">
        <v>9</v>
      </c>
      <c r="E1388" s="3">
        <f>737914+648038+21618+1285756</f>
        <v>2693326</v>
      </c>
      <c r="G1388" s="9">
        <f t="shared" si="29"/>
        <v>10445583</v>
      </c>
    </row>
    <row r="1389" spans="1:9" x14ac:dyDescent="0.2">
      <c r="A1389" s="12">
        <v>45016</v>
      </c>
      <c r="C1389" s="2" t="s">
        <v>165</v>
      </c>
      <c r="D1389" s="1" t="s">
        <v>9</v>
      </c>
      <c r="E1389" s="3">
        <v>632400</v>
      </c>
      <c r="G1389" s="9">
        <f t="shared" si="29"/>
        <v>11077983</v>
      </c>
    </row>
    <row r="1390" spans="1:9" x14ac:dyDescent="0.2">
      <c r="A1390" s="12">
        <v>45016</v>
      </c>
      <c r="C1390" s="2" t="s">
        <v>944</v>
      </c>
      <c r="D1390" s="1" t="s">
        <v>9</v>
      </c>
      <c r="F1390" s="3">
        <v>84137</v>
      </c>
      <c r="G1390" s="9">
        <f t="shared" si="29"/>
        <v>10993846</v>
      </c>
    </row>
    <row r="1391" spans="1:9" s="28" customFormat="1" ht="15.75" x14ac:dyDescent="0.25">
      <c r="A1391" s="10" t="s">
        <v>936</v>
      </c>
      <c r="B1391" s="1"/>
      <c r="C1391" s="2"/>
      <c r="D1391" s="1"/>
      <c r="E1391" s="3"/>
      <c r="F1391" s="3"/>
      <c r="G1391" s="8"/>
      <c r="H1391" s="27"/>
      <c r="I1391" s="26"/>
    </row>
    <row r="1392" spans="1:9" s="28" customFormat="1" x14ac:dyDescent="0.2">
      <c r="A1392" s="11" t="s">
        <v>2</v>
      </c>
      <c r="B1392" s="5" t="s">
        <v>1</v>
      </c>
      <c r="C1392" s="5" t="s">
        <v>3</v>
      </c>
      <c r="D1392" s="5"/>
      <c r="E1392" s="7" t="s">
        <v>4</v>
      </c>
      <c r="F1392" s="7" t="s">
        <v>6</v>
      </c>
      <c r="G1392" s="8" t="s">
        <v>5</v>
      </c>
      <c r="H1392" s="27"/>
      <c r="I1392" s="26"/>
    </row>
    <row r="1393" spans="1:7" x14ac:dyDescent="0.2">
      <c r="A1393" s="12">
        <v>45019</v>
      </c>
      <c r="C1393" s="2" t="s">
        <v>935</v>
      </c>
      <c r="D1393" s="1" t="s">
        <v>9</v>
      </c>
      <c r="F1393" s="3">
        <f>5070285+125440</f>
        <v>5195725</v>
      </c>
      <c r="G1393" s="9">
        <f>G1390+E1393-F1393</f>
        <v>5798121</v>
      </c>
    </row>
    <row r="1394" spans="1:7" x14ac:dyDescent="0.2">
      <c r="A1394" s="12">
        <v>45019</v>
      </c>
      <c r="C1394" s="2" t="s">
        <v>84</v>
      </c>
      <c r="D1394" s="1" t="s">
        <v>9</v>
      </c>
      <c r="F1394" s="3">
        <v>594055</v>
      </c>
      <c r="G1394" s="9">
        <f t="shared" si="29"/>
        <v>5204066</v>
      </c>
    </row>
    <row r="1395" spans="1:7" x14ac:dyDescent="0.2">
      <c r="A1395" s="12">
        <v>45019</v>
      </c>
      <c r="C1395" s="2" t="s">
        <v>943</v>
      </c>
      <c r="D1395" s="1" t="s">
        <v>9</v>
      </c>
      <c r="E1395" s="3">
        <v>406968</v>
      </c>
      <c r="G1395" s="9">
        <f t="shared" si="29"/>
        <v>5611034</v>
      </c>
    </row>
    <row r="1396" spans="1:7" x14ac:dyDescent="0.2">
      <c r="A1396" s="12">
        <v>45020</v>
      </c>
      <c r="C1396" s="2" t="s">
        <v>137</v>
      </c>
      <c r="D1396" s="1" t="s">
        <v>9</v>
      </c>
      <c r="E1396" s="3">
        <v>20702</v>
      </c>
      <c r="G1396" s="9">
        <f t="shared" si="29"/>
        <v>5631736</v>
      </c>
    </row>
    <row r="1397" spans="1:7" x14ac:dyDescent="0.2">
      <c r="A1397" s="12">
        <v>45020</v>
      </c>
      <c r="C1397" s="2" t="s">
        <v>189</v>
      </c>
      <c r="D1397" s="1" t="s">
        <v>9</v>
      </c>
      <c r="E1397" s="3">
        <v>276120</v>
      </c>
      <c r="G1397" s="9">
        <f t="shared" si="29"/>
        <v>5907856</v>
      </c>
    </row>
    <row r="1398" spans="1:7" x14ac:dyDescent="0.2">
      <c r="A1398" s="12">
        <v>45022</v>
      </c>
      <c r="B1398" s="21" t="s">
        <v>948</v>
      </c>
      <c r="C1398" s="22" t="s">
        <v>1003</v>
      </c>
      <c r="D1398" s="1" t="s">
        <v>9</v>
      </c>
      <c r="G1398" s="9">
        <f t="shared" si="29"/>
        <v>5907856</v>
      </c>
    </row>
    <row r="1399" spans="1:7" x14ac:dyDescent="0.2">
      <c r="A1399" s="12">
        <v>45022</v>
      </c>
      <c r="B1399" s="21" t="s">
        <v>949</v>
      </c>
      <c r="C1399" s="22" t="s">
        <v>950</v>
      </c>
      <c r="D1399" s="1" t="s">
        <v>9</v>
      </c>
      <c r="F1399" s="3">
        <v>164563</v>
      </c>
      <c r="G1399" s="9">
        <f t="shared" si="29"/>
        <v>5743293</v>
      </c>
    </row>
    <row r="1400" spans="1:7" x14ac:dyDescent="0.2">
      <c r="A1400" s="12">
        <v>45022</v>
      </c>
      <c r="B1400" s="21" t="s">
        <v>945</v>
      </c>
      <c r="C1400" s="22" t="s">
        <v>150</v>
      </c>
      <c r="D1400" s="1" t="s">
        <v>9</v>
      </c>
      <c r="F1400" s="3">
        <v>354000</v>
      </c>
      <c r="G1400" s="9">
        <f t="shared" si="29"/>
        <v>5389293</v>
      </c>
    </row>
    <row r="1401" spans="1:7" x14ac:dyDescent="0.2">
      <c r="A1401" s="12">
        <v>45022</v>
      </c>
      <c r="B1401" s="21" t="s">
        <v>946</v>
      </c>
      <c r="C1401" s="22" t="s">
        <v>947</v>
      </c>
      <c r="D1401" s="1" t="s">
        <v>9</v>
      </c>
      <c r="F1401" s="3">
        <v>1000000</v>
      </c>
      <c r="G1401" s="9">
        <f t="shared" si="29"/>
        <v>4389293</v>
      </c>
    </row>
    <row r="1402" spans="1:7" x14ac:dyDescent="0.2">
      <c r="A1402" s="12">
        <v>45022</v>
      </c>
      <c r="B1402" s="21"/>
      <c r="C1402" s="2" t="s">
        <v>951</v>
      </c>
      <c r="D1402" s="1" t="s">
        <v>9</v>
      </c>
      <c r="E1402" s="3">
        <f>47181+24100+1705322</f>
        <v>1776603</v>
      </c>
      <c r="G1402" s="9">
        <f t="shared" si="29"/>
        <v>6165896</v>
      </c>
    </row>
    <row r="1403" spans="1:7" x14ac:dyDescent="0.2">
      <c r="A1403" s="12">
        <v>45027</v>
      </c>
      <c r="C1403" s="2" t="s">
        <v>937</v>
      </c>
      <c r="D1403" s="1" t="s">
        <v>9</v>
      </c>
      <c r="F1403" s="3">
        <f>539440+275</f>
        <v>539715</v>
      </c>
      <c r="G1403" s="9">
        <f t="shared" si="29"/>
        <v>5626181</v>
      </c>
    </row>
    <row r="1404" spans="1:7" x14ac:dyDescent="0.2">
      <c r="A1404" s="12">
        <v>45027</v>
      </c>
      <c r="C1404" s="2" t="s">
        <v>938</v>
      </c>
      <c r="D1404" s="1" t="s">
        <v>9</v>
      </c>
      <c r="F1404" s="3">
        <f>670029</f>
        <v>670029</v>
      </c>
      <c r="G1404" s="9">
        <f t="shared" si="29"/>
        <v>4956152</v>
      </c>
    </row>
    <row r="1405" spans="1:7" x14ac:dyDescent="0.2">
      <c r="A1405" s="12">
        <v>45027</v>
      </c>
      <c r="C1405" s="2" t="s">
        <v>939</v>
      </c>
      <c r="D1405" s="1" t="s">
        <v>9</v>
      </c>
      <c r="F1405" s="3">
        <f>120650</f>
        <v>120650</v>
      </c>
      <c r="G1405" s="9">
        <f t="shared" si="29"/>
        <v>4835502</v>
      </c>
    </row>
    <row r="1406" spans="1:7" x14ac:dyDescent="0.2">
      <c r="A1406" s="12">
        <v>45027</v>
      </c>
      <c r="C1406" s="2" t="s">
        <v>940</v>
      </c>
      <c r="D1406" s="1" t="s">
        <v>9</v>
      </c>
      <c r="F1406" s="3">
        <f>157380+275</f>
        <v>157655</v>
      </c>
      <c r="G1406" s="9">
        <f t="shared" si="29"/>
        <v>4677847</v>
      </c>
    </row>
    <row r="1407" spans="1:7" x14ac:dyDescent="0.2">
      <c r="A1407" s="12">
        <v>45027</v>
      </c>
      <c r="C1407" s="2" t="s">
        <v>903</v>
      </c>
      <c r="D1407" s="1" t="s">
        <v>9</v>
      </c>
      <c r="F1407" s="3">
        <f>548666+275</f>
        <v>548941</v>
      </c>
      <c r="G1407" s="9">
        <f t="shared" si="29"/>
        <v>4128906</v>
      </c>
    </row>
    <row r="1408" spans="1:7" x14ac:dyDescent="0.2">
      <c r="A1408" s="12">
        <v>45027</v>
      </c>
      <c r="C1408" s="2" t="s">
        <v>941</v>
      </c>
      <c r="D1408" s="1" t="s">
        <v>9</v>
      </c>
      <c r="F1408" s="3">
        <f>470684+275</f>
        <v>470959</v>
      </c>
      <c r="G1408" s="9">
        <f t="shared" si="29"/>
        <v>3657947</v>
      </c>
    </row>
    <row r="1409" spans="1:7" x14ac:dyDescent="0.2">
      <c r="A1409" s="12">
        <v>45027</v>
      </c>
      <c r="C1409" s="2" t="s">
        <v>942</v>
      </c>
      <c r="D1409" s="1" t="s">
        <v>9</v>
      </c>
      <c r="F1409" s="3">
        <f>548700+275</f>
        <v>548975</v>
      </c>
      <c r="G1409" s="9">
        <f t="shared" si="29"/>
        <v>3108972</v>
      </c>
    </row>
    <row r="1410" spans="1:7" x14ac:dyDescent="0.2">
      <c r="A1410" s="12">
        <v>45028</v>
      </c>
      <c r="C1410" s="2" t="s">
        <v>952</v>
      </c>
      <c r="D1410" s="1" t="s">
        <v>9</v>
      </c>
      <c r="E1410" s="3">
        <f>139802+42480+376656+249438+841359</f>
        <v>1649735</v>
      </c>
      <c r="G1410" s="9">
        <f t="shared" si="29"/>
        <v>4758707</v>
      </c>
    </row>
    <row r="1411" spans="1:7" x14ac:dyDescent="0.2">
      <c r="A1411" s="12">
        <v>45028</v>
      </c>
      <c r="C1411" s="2" t="s">
        <v>505</v>
      </c>
      <c r="D1411" s="1" t="s">
        <v>9</v>
      </c>
      <c r="E1411" s="3">
        <v>698411</v>
      </c>
      <c r="G1411" s="9">
        <f t="shared" si="29"/>
        <v>5457118</v>
      </c>
    </row>
    <row r="1412" spans="1:7" x14ac:dyDescent="0.2">
      <c r="A1412" s="12">
        <v>45028</v>
      </c>
      <c r="C1412" s="2" t="s">
        <v>35</v>
      </c>
      <c r="D1412" s="1" t="s">
        <v>9</v>
      </c>
      <c r="F1412" s="3">
        <v>6600</v>
      </c>
      <c r="G1412" s="9">
        <f t="shared" si="29"/>
        <v>5450518</v>
      </c>
    </row>
    <row r="1413" spans="1:7" x14ac:dyDescent="0.2">
      <c r="A1413" s="12">
        <v>45028</v>
      </c>
      <c r="C1413" s="2" t="s">
        <v>783</v>
      </c>
      <c r="D1413" s="1" t="s">
        <v>9</v>
      </c>
      <c r="E1413" s="3">
        <v>165094</v>
      </c>
      <c r="G1413" s="9">
        <f t="shared" si="29"/>
        <v>5615612</v>
      </c>
    </row>
    <row r="1414" spans="1:7" x14ac:dyDescent="0.2">
      <c r="A1414" s="12">
        <v>45028</v>
      </c>
      <c r="C1414" s="2" t="s">
        <v>701</v>
      </c>
      <c r="D1414" s="1" t="s">
        <v>9</v>
      </c>
      <c r="E1414" s="3">
        <v>658772</v>
      </c>
      <c r="G1414" s="9">
        <f t="shared" si="29"/>
        <v>6274384</v>
      </c>
    </row>
    <row r="1415" spans="1:7" x14ac:dyDescent="0.2">
      <c r="A1415" s="12">
        <v>45029</v>
      </c>
      <c r="B1415" s="1" t="s">
        <v>953</v>
      </c>
      <c r="C1415" s="2" t="s">
        <v>700</v>
      </c>
      <c r="D1415" s="1" t="s">
        <v>9</v>
      </c>
      <c r="F1415" s="3">
        <v>165000</v>
      </c>
      <c r="G1415" s="9">
        <f t="shared" si="29"/>
        <v>6109384</v>
      </c>
    </row>
    <row r="1416" spans="1:7" x14ac:dyDescent="0.2">
      <c r="A1416" s="12">
        <v>45029</v>
      </c>
      <c r="B1416" s="1" t="s">
        <v>954</v>
      </c>
      <c r="C1416" s="22" t="s">
        <v>724</v>
      </c>
      <c r="D1416" s="1" t="s">
        <v>9</v>
      </c>
      <c r="F1416" s="3">
        <v>600000</v>
      </c>
      <c r="G1416" s="9">
        <f t="shared" si="29"/>
        <v>5509384</v>
      </c>
    </row>
    <row r="1417" spans="1:7" x14ac:dyDescent="0.2">
      <c r="A1417" s="12">
        <v>45029</v>
      </c>
      <c r="B1417" s="1" t="s">
        <v>955</v>
      </c>
      <c r="C1417" s="22" t="s">
        <v>956</v>
      </c>
      <c r="D1417" s="1" t="s">
        <v>9</v>
      </c>
      <c r="F1417" s="3">
        <v>535000</v>
      </c>
      <c r="G1417" s="9">
        <f t="shared" si="29"/>
        <v>4974384</v>
      </c>
    </row>
    <row r="1418" spans="1:7" x14ac:dyDescent="0.2">
      <c r="A1418" s="12">
        <v>45029</v>
      </c>
      <c r="C1418" s="2" t="s">
        <v>957</v>
      </c>
      <c r="D1418" s="1" t="s">
        <v>9</v>
      </c>
      <c r="E1418" s="3">
        <f>733932+21594+473215+173147</f>
        <v>1401888</v>
      </c>
      <c r="G1418" s="9">
        <f t="shared" si="29"/>
        <v>6376272</v>
      </c>
    </row>
    <row r="1419" spans="1:7" x14ac:dyDescent="0.2">
      <c r="A1419" s="12">
        <v>45033</v>
      </c>
      <c r="C1419" s="2" t="s">
        <v>959</v>
      </c>
      <c r="D1419" s="1" t="s">
        <v>9</v>
      </c>
      <c r="E1419" s="3">
        <f>12272+488653+124254+197532+84252+83544+119343+38704</f>
        <v>1148554</v>
      </c>
      <c r="G1419" s="9">
        <f t="shared" si="29"/>
        <v>7524826</v>
      </c>
    </row>
    <row r="1420" spans="1:7" x14ac:dyDescent="0.2">
      <c r="A1420" s="12">
        <v>45033</v>
      </c>
      <c r="C1420" s="2" t="s">
        <v>35</v>
      </c>
      <c r="D1420" s="1" t="s">
        <v>9</v>
      </c>
      <c r="F1420" s="3">
        <v>6600</v>
      </c>
      <c r="G1420" s="9">
        <f t="shared" si="29"/>
        <v>7518226</v>
      </c>
    </row>
    <row r="1421" spans="1:7" x14ac:dyDescent="0.2">
      <c r="A1421" s="12">
        <v>45035</v>
      </c>
      <c r="C1421" s="2" t="s">
        <v>137</v>
      </c>
      <c r="D1421" s="1" t="s">
        <v>9</v>
      </c>
      <c r="E1421" s="3">
        <v>145937</v>
      </c>
      <c r="G1421" s="9">
        <f t="shared" si="29"/>
        <v>7664163</v>
      </c>
    </row>
    <row r="1422" spans="1:7" x14ac:dyDescent="0.2">
      <c r="A1422" s="12">
        <v>45036</v>
      </c>
      <c r="C1422" s="2" t="s">
        <v>964</v>
      </c>
      <c r="D1422" s="1" t="s">
        <v>9</v>
      </c>
      <c r="E1422" s="3">
        <f>1788380+8024+217639+932110+274202+369281+51872</f>
        <v>3641508</v>
      </c>
      <c r="G1422" s="9">
        <f t="shared" si="29"/>
        <v>11305671</v>
      </c>
    </row>
    <row r="1423" spans="1:7" x14ac:dyDescent="0.2">
      <c r="A1423" s="12">
        <v>45036</v>
      </c>
      <c r="C1423" s="2" t="s">
        <v>958</v>
      </c>
      <c r="D1423" s="1" t="s">
        <v>9</v>
      </c>
      <c r="F1423" s="3">
        <f>6615307+155951</f>
        <v>6771258</v>
      </c>
      <c r="G1423" s="9">
        <f t="shared" si="29"/>
        <v>4534413</v>
      </c>
    </row>
    <row r="1424" spans="1:7" x14ac:dyDescent="0.2">
      <c r="A1424" s="12">
        <v>45036</v>
      </c>
      <c r="C1424" s="2" t="s">
        <v>965</v>
      </c>
      <c r="D1424" s="1" t="s">
        <v>9</v>
      </c>
      <c r="E1424" s="3">
        <f>3196329+471013+1279855</f>
        <v>4947197</v>
      </c>
      <c r="G1424" s="9">
        <f t="shared" si="29"/>
        <v>9481610</v>
      </c>
    </row>
    <row r="1425" spans="1:10" x14ac:dyDescent="0.2">
      <c r="A1425" s="12">
        <v>45036</v>
      </c>
      <c r="C1425" s="2" t="s">
        <v>966</v>
      </c>
      <c r="D1425" s="1" t="s">
        <v>9</v>
      </c>
      <c r="E1425" s="3">
        <v>484489</v>
      </c>
      <c r="G1425" s="9">
        <f t="shared" si="29"/>
        <v>9966099</v>
      </c>
    </row>
    <row r="1426" spans="1:10" x14ac:dyDescent="0.2">
      <c r="A1426" s="12">
        <v>45037</v>
      </c>
      <c r="C1426" s="2" t="s">
        <v>960</v>
      </c>
      <c r="D1426" s="1" t="s">
        <v>9</v>
      </c>
      <c r="F1426" s="3">
        <f>2005425+64908</f>
        <v>2070333</v>
      </c>
      <c r="G1426" s="9">
        <f t="shared" si="29"/>
        <v>7895766</v>
      </c>
    </row>
    <row r="1427" spans="1:10" x14ac:dyDescent="0.2">
      <c r="A1427" s="12">
        <v>45037</v>
      </c>
      <c r="B1427" s="1" t="s">
        <v>962</v>
      </c>
      <c r="C1427" s="2" t="s">
        <v>961</v>
      </c>
      <c r="D1427" s="1" t="s">
        <v>9</v>
      </c>
      <c r="F1427" s="3">
        <v>1839063</v>
      </c>
      <c r="G1427" s="9">
        <f t="shared" si="29"/>
        <v>6056703</v>
      </c>
    </row>
    <row r="1428" spans="1:10" x14ac:dyDescent="0.2">
      <c r="A1428" s="12">
        <v>45040</v>
      </c>
      <c r="C1428" s="2" t="s">
        <v>967</v>
      </c>
      <c r="D1428" s="1" t="s">
        <v>9</v>
      </c>
      <c r="E1428" s="3">
        <f>580277+473900+361269+3235117</f>
        <v>4650563</v>
      </c>
      <c r="G1428" s="9">
        <f t="shared" si="29"/>
        <v>10707266</v>
      </c>
    </row>
    <row r="1429" spans="1:10" x14ac:dyDescent="0.2">
      <c r="A1429" s="12">
        <v>45040</v>
      </c>
      <c r="C1429" s="2" t="s">
        <v>711</v>
      </c>
      <c r="D1429" s="1" t="s">
        <v>9</v>
      </c>
      <c r="F1429" s="3">
        <v>30692</v>
      </c>
      <c r="G1429" s="9">
        <f t="shared" si="29"/>
        <v>10676574</v>
      </c>
    </row>
    <row r="1430" spans="1:10" x14ac:dyDescent="0.2">
      <c r="A1430" s="12">
        <v>45040</v>
      </c>
      <c r="C1430" s="2" t="s">
        <v>528</v>
      </c>
      <c r="D1430" s="1" t="s">
        <v>9</v>
      </c>
      <c r="F1430" s="3">
        <v>5000</v>
      </c>
      <c r="G1430" s="9">
        <f t="shared" si="29"/>
        <v>10671574</v>
      </c>
    </row>
    <row r="1431" spans="1:10" x14ac:dyDescent="0.2">
      <c r="A1431" s="12">
        <v>45040</v>
      </c>
      <c r="C1431" s="2" t="s">
        <v>829</v>
      </c>
      <c r="D1431" s="1" t="s">
        <v>9</v>
      </c>
      <c r="F1431" s="3">
        <v>6900</v>
      </c>
      <c r="G1431" s="9">
        <f t="shared" si="29"/>
        <v>10664674</v>
      </c>
    </row>
    <row r="1432" spans="1:10" x14ac:dyDescent="0.2">
      <c r="A1432" s="12">
        <v>45040</v>
      </c>
      <c r="C1432" s="2" t="s">
        <v>528</v>
      </c>
      <c r="D1432" s="1" t="s">
        <v>9</v>
      </c>
      <c r="F1432" s="3">
        <v>5000</v>
      </c>
      <c r="G1432" s="9">
        <f t="shared" si="29"/>
        <v>10659674</v>
      </c>
    </row>
    <row r="1433" spans="1:10" x14ac:dyDescent="0.2">
      <c r="A1433" s="12">
        <v>45040</v>
      </c>
      <c r="C1433" s="2" t="s">
        <v>897</v>
      </c>
      <c r="D1433" s="1" t="s">
        <v>9</v>
      </c>
      <c r="F1433" s="3">
        <v>2209826</v>
      </c>
      <c r="G1433" s="9">
        <f t="shared" si="29"/>
        <v>8449848</v>
      </c>
    </row>
    <row r="1434" spans="1:10" x14ac:dyDescent="0.2">
      <c r="A1434" s="12">
        <v>45040</v>
      </c>
      <c r="C1434" s="2" t="s">
        <v>528</v>
      </c>
      <c r="D1434" s="1" t="s">
        <v>9</v>
      </c>
      <c r="F1434" s="3">
        <v>5000</v>
      </c>
      <c r="G1434" s="9">
        <f t="shared" si="29"/>
        <v>8444848</v>
      </c>
    </row>
    <row r="1435" spans="1:10" x14ac:dyDescent="0.2">
      <c r="A1435" s="12">
        <v>45040</v>
      </c>
      <c r="C1435" s="2" t="s">
        <v>27</v>
      </c>
      <c r="D1435" s="1" t="s">
        <v>9</v>
      </c>
      <c r="F1435" s="3">
        <v>150000</v>
      </c>
      <c r="G1435" s="9">
        <f t="shared" si="29"/>
        <v>8294848</v>
      </c>
    </row>
    <row r="1436" spans="1:10" x14ac:dyDescent="0.2">
      <c r="A1436" s="12">
        <v>45041</v>
      </c>
      <c r="C1436" s="2" t="s">
        <v>968</v>
      </c>
      <c r="D1436" s="1" t="s">
        <v>9</v>
      </c>
      <c r="E1436" s="3">
        <f>1303093+149602+408983</f>
        <v>1861678</v>
      </c>
      <c r="G1436" s="9">
        <f t="shared" si="29"/>
        <v>10156526</v>
      </c>
    </row>
    <row r="1437" spans="1:10" x14ac:dyDescent="0.2">
      <c r="A1437" s="12">
        <v>45041</v>
      </c>
      <c r="C1437" s="2" t="s">
        <v>969</v>
      </c>
      <c r="D1437" s="1" t="s">
        <v>9</v>
      </c>
      <c r="E1437" s="3">
        <v>36108</v>
      </c>
      <c r="G1437" s="9">
        <f t="shared" si="29"/>
        <v>10192634</v>
      </c>
      <c r="I1437" s="24">
        <v>10523619</v>
      </c>
    </row>
    <row r="1438" spans="1:10" x14ac:dyDescent="0.2">
      <c r="A1438" s="12">
        <v>45041</v>
      </c>
      <c r="C1438" s="2" t="s">
        <v>116</v>
      </c>
      <c r="D1438" s="1" t="s">
        <v>9</v>
      </c>
      <c r="E1438" s="3">
        <v>330985</v>
      </c>
      <c r="G1438" s="9">
        <f t="shared" si="29"/>
        <v>10523619</v>
      </c>
      <c r="I1438" s="9">
        <f>I1437-F1398</f>
        <v>10523619</v>
      </c>
    </row>
    <row r="1439" spans="1:10" x14ac:dyDescent="0.2">
      <c r="A1439" s="12">
        <v>45043</v>
      </c>
      <c r="C1439" s="2" t="s">
        <v>970</v>
      </c>
      <c r="D1439" s="1" t="s">
        <v>9</v>
      </c>
      <c r="E1439" s="3">
        <v>60180</v>
      </c>
      <c r="G1439" s="9">
        <f t="shared" si="29"/>
        <v>10583799</v>
      </c>
      <c r="J1439" s="33"/>
    </row>
    <row r="1440" spans="1:10" x14ac:dyDescent="0.2">
      <c r="A1440" s="12">
        <v>45044</v>
      </c>
      <c r="C1440" s="2" t="s">
        <v>977</v>
      </c>
      <c r="D1440" s="1" t="s">
        <v>9</v>
      </c>
      <c r="F1440" s="3">
        <v>65800</v>
      </c>
      <c r="G1440" s="9">
        <f t="shared" ref="G1440:G1442" si="30">G1439+E1440-F1440</f>
        <v>10517999</v>
      </c>
      <c r="J1440" s="33"/>
    </row>
    <row r="1441" spans="1:9" x14ac:dyDescent="0.2">
      <c r="A1441" s="12">
        <v>45044</v>
      </c>
      <c r="C1441" s="2" t="s">
        <v>971</v>
      </c>
      <c r="D1441" s="1" t="s">
        <v>9</v>
      </c>
      <c r="E1441" s="3">
        <f>64593+2006+1234728+81278+81500+219808</f>
        <v>1683913</v>
      </c>
      <c r="G1441" s="9">
        <f t="shared" si="30"/>
        <v>12201912</v>
      </c>
    </row>
    <row r="1442" spans="1:9" x14ac:dyDescent="0.2">
      <c r="A1442" s="12">
        <v>45044</v>
      </c>
      <c r="C1442" s="2" t="s">
        <v>972</v>
      </c>
      <c r="D1442" s="1" t="s">
        <v>9</v>
      </c>
      <c r="F1442" s="3">
        <v>3569903</v>
      </c>
      <c r="G1442" s="9">
        <f t="shared" si="30"/>
        <v>8632009</v>
      </c>
    </row>
    <row r="1443" spans="1:9" x14ac:dyDescent="0.2">
      <c r="A1443" s="12">
        <v>45044</v>
      </c>
      <c r="C1443" s="2" t="s">
        <v>34</v>
      </c>
      <c r="D1443" s="1" t="s">
        <v>9</v>
      </c>
      <c r="F1443" s="3">
        <v>275</v>
      </c>
      <c r="G1443" s="9">
        <f t="shared" ref="G1443:G1507" si="31">G1442+E1443-F1443</f>
        <v>8631734</v>
      </c>
    </row>
    <row r="1444" spans="1:9" s="28" customFormat="1" ht="15.75" x14ac:dyDescent="0.25">
      <c r="A1444" s="10" t="s">
        <v>973</v>
      </c>
      <c r="B1444" s="1"/>
      <c r="C1444" s="2"/>
      <c r="D1444" s="1"/>
      <c r="E1444" s="3"/>
      <c r="F1444" s="3"/>
      <c r="G1444" s="9">
        <f t="shared" si="31"/>
        <v>8631734</v>
      </c>
      <c r="H1444" s="27"/>
      <c r="I1444" s="26"/>
    </row>
    <row r="1445" spans="1:9" s="28" customFormat="1" x14ac:dyDescent="0.2">
      <c r="A1445" s="11" t="s">
        <v>2</v>
      </c>
      <c r="B1445" s="5" t="s">
        <v>1</v>
      </c>
      <c r="C1445" s="5" t="s">
        <v>3</v>
      </c>
      <c r="D1445" s="5"/>
      <c r="E1445" s="7" t="s">
        <v>4</v>
      </c>
      <c r="F1445" s="7" t="s">
        <v>6</v>
      </c>
      <c r="G1445" s="8" t="s">
        <v>5</v>
      </c>
      <c r="H1445" s="27"/>
      <c r="I1445" s="26"/>
    </row>
    <row r="1446" spans="1:9" x14ac:dyDescent="0.2">
      <c r="A1446" s="12">
        <v>45048</v>
      </c>
      <c r="C1446" s="2" t="s">
        <v>84</v>
      </c>
      <c r="F1446" s="3">
        <v>594055</v>
      </c>
      <c r="G1446" s="9">
        <f>G1444+E1446-F1446</f>
        <v>8037679</v>
      </c>
    </row>
    <row r="1447" spans="1:9" x14ac:dyDescent="0.2">
      <c r="A1447" s="12">
        <v>45048</v>
      </c>
      <c r="C1447" s="2" t="s">
        <v>137</v>
      </c>
      <c r="D1447" s="1" t="s">
        <v>9</v>
      </c>
      <c r="E1447" s="3">
        <v>238962</v>
      </c>
      <c r="G1447" s="9">
        <f t="shared" si="31"/>
        <v>8276641</v>
      </c>
    </row>
    <row r="1448" spans="1:9" x14ac:dyDescent="0.2">
      <c r="A1448" s="12">
        <v>45048</v>
      </c>
      <c r="C1448" s="2" t="s">
        <v>137</v>
      </c>
      <c r="D1448" s="1" t="s">
        <v>9</v>
      </c>
      <c r="E1448" s="3">
        <v>310110</v>
      </c>
      <c r="G1448" s="9">
        <f t="shared" si="31"/>
        <v>8586751</v>
      </c>
    </row>
    <row r="1449" spans="1:9" x14ac:dyDescent="0.2">
      <c r="A1449" s="12">
        <v>45049</v>
      </c>
      <c r="B1449" s="1" t="s">
        <v>974</v>
      </c>
      <c r="C1449" s="22" t="s">
        <v>777</v>
      </c>
      <c r="D1449" s="1" t="s">
        <v>9</v>
      </c>
      <c r="F1449" s="3">
        <v>335000</v>
      </c>
      <c r="G1449" s="9">
        <f t="shared" si="31"/>
        <v>8251751</v>
      </c>
    </row>
    <row r="1450" spans="1:9" x14ac:dyDescent="0.2">
      <c r="A1450" s="12">
        <v>45049</v>
      </c>
      <c r="B1450" s="1" t="s">
        <v>975</v>
      </c>
      <c r="C1450" s="2" t="s">
        <v>154</v>
      </c>
      <c r="D1450" s="1" t="s">
        <v>9</v>
      </c>
      <c r="F1450" s="3">
        <v>288205</v>
      </c>
      <c r="G1450" s="9">
        <f t="shared" si="31"/>
        <v>7963546</v>
      </c>
    </row>
    <row r="1451" spans="1:9" x14ac:dyDescent="0.2">
      <c r="A1451" s="12">
        <v>45050</v>
      </c>
      <c r="C1451" s="2" t="s">
        <v>976</v>
      </c>
      <c r="D1451" s="1" t="s">
        <v>9</v>
      </c>
      <c r="F1451" s="3">
        <f>4672519+117583</f>
        <v>4790102</v>
      </c>
      <c r="G1451" s="9">
        <f t="shared" si="31"/>
        <v>3173444</v>
      </c>
    </row>
    <row r="1452" spans="1:9" x14ac:dyDescent="0.2">
      <c r="A1452" s="12">
        <v>45051</v>
      </c>
      <c r="C1452" s="2" t="s">
        <v>35</v>
      </c>
      <c r="D1452" s="1" t="s">
        <v>9</v>
      </c>
      <c r="F1452" s="3">
        <v>6600</v>
      </c>
      <c r="G1452" s="9">
        <f t="shared" si="31"/>
        <v>3166844</v>
      </c>
    </row>
    <row r="1453" spans="1:9" x14ac:dyDescent="0.2">
      <c r="A1453" s="12">
        <v>45051</v>
      </c>
      <c r="C1453" s="2" t="s">
        <v>35</v>
      </c>
      <c r="D1453" s="1" t="s">
        <v>9</v>
      </c>
      <c r="F1453" s="3">
        <v>6600</v>
      </c>
      <c r="G1453" s="9">
        <f t="shared" si="31"/>
        <v>3160244</v>
      </c>
    </row>
    <row r="1454" spans="1:9" x14ac:dyDescent="0.2">
      <c r="A1454" s="12">
        <v>45054</v>
      </c>
      <c r="C1454" s="2" t="s">
        <v>980</v>
      </c>
      <c r="D1454" s="1" t="s">
        <v>9</v>
      </c>
      <c r="E1454" s="3">
        <f>451350+312936+58145+587319</f>
        <v>1409750</v>
      </c>
      <c r="G1454" s="9">
        <f t="shared" si="31"/>
        <v>4569994</v>
      </c>
    </row>
    <row r="1455" spans="1:9" x14ac:dyDescent="0.2">
      <c r="A1455" s="12">
        <v>45055</v>
      </c>
      <c r="C1455" s="2" t="s">
        <v>981</v>
      </c>
      <c r="D1455" s="1" t="s">
        <v>9</v>
      </c>
      <c r="E1455" s="3">
        <f>36000+82146</f>
        <v>118146</v>
      </c>
      <c r="G1455" s="9">
        <f t="shared" si="31"/>
        <v>4688140</v>
      </c>
    </row>
    <row r="1456" spans="1:9" x14ac:dyDescent="0.2">
      <c r="A1456" s="12">
        <v>45055</v>
      </c>
      <c r="C1456" s="2" t="s">
        <v>982</v>
      </c>
      <c r="D1456" s="1" t="s">
        <v>9</v>
      </c>
      <c r="E1456" s="3">
        <v>2081727</v>
      </c>
      <c r="G1456" s="9">
        <f t="shared" si="31"/>
        <v>6769867</v>
      </c>
    </row>
    <row r="1457" spans="1:7" x14ac:dyDescent="0.2">
      <c r="A1457" s="12">
        <v>45055</v>
      </c>
      <c r="C1457" s="2" t="s">
        <v>189</v>
      </c>
      <c r="D1457" s="1" t="s">
        <v>9</v>
      </c>
      <c r="E1457" s="3">
        <v>99563</v>
      </c>
      <c r="G1457" s="9">
        <f t="shared" si="31"/>
        <v>6869430</v>
      </c>
    </row>
    <row r="1458" spans="1:7" x14ac:dyDescent="0.2">
      <c r="A1458" s="12">
        <v>45058</v>
      </c>
      <c r="C1458" s="2" t="s">
        <v>983</v>
      </c>
      <c r="D1458" s="1" t="s">
        <v>9</v>
      </c>
      <c r="F1458" s="3">
        <f>3039572</f>
        <v>3039572</v>
      </c>
      <c r="G1458" s="9">
        <f t="shared" si="31"/>
        <v>3829858</v>
      </c>
    </row>
    <row r="1459" spans="1:7" x14ac:dyDescent="0.2">
      <c r="A1459" s="12">
        <v>45058</v>
      </c>
      <c r="C1459" s="2" t="s">
        <v>984</v>
      </c>
      <c r="D1459" s="1" t="s">
        <v>9</v>
      </c>
      <c r="E1459" s="3">
        <f>122248+1503238+58764+254632+2028943</f>
        <v>3967825</v>
      </c>
      <c r="G1459" s="9">
        <f t="shared" si="31"/>
        <v>7797683</v>
      </c>
    </row>
    <row r="1460" spans="1:7" x14ac:dyDescent="0.2">
      <c r="A1460" s="12">
        <v>45058</v>
      </c>
      <c r="B1460" s="1" t="s">
        <v>985</v>
      </c>
      <c r="C1460" s="2" t="s">
        <v>724</v>
      </c>
      <c r="D1460" s="1" t="s">
        <v>9</v>
      </c>
      <c r="F1460" s="3">
        <v>600000</v>
      </c>
      <c r="G1460" s="9">
        <f t="shared" si="31"/>
        <v>7197683</v>
      </c>
    </row>
    <row r="1461" spans="1:7" x14ac:dyDescent="0.2">
      <c r="A1461" s="12">
        <v>45058</v>
      </c>
      <c r="B1461" s="1" t="s">
        <v>986</v>
      </c>
      <c r="C1461" s="2" t="s">
        <v>700</v>
      </c>
      <c r="D1461" s="1" t="s">
        <v>9</v>
      </c>
      <c r="F1461" s="3">
        <v>165000</v>
      </c>
      <c r="G1461" s="9">
        <f t="shared" si="31"/>
        <v>7032683</v>
      </c>
    </row>
    <row r="1462" spans="1:7" x14ac:dyDescent="0.2">
      <c r="A1462" s="12">
        <v>45058</v>
      </c>
      <c r="B1462" s="1" t="s">
        <v>987</v>
      </c>
      <c r="C1462" s="2" t="s">
        <v>988</v>
      </c>
      <c r="D1462" s="1" t="s">
        <v>9</v>
      </c>
      <c r="F1462" s="3">
        <v>883750</v>
      </c>
      <c r="G1462" s="9">
        <f t="shared" si="31"/>
        <v>6148933</v>
      </c>
    </row>
    <row r="1463" spans="1:7" x14ac:dyDescent="0.2">
      <c r="A1463" s="12">
        <v>45058</v>
      </c>
      <c r="C1463" s="2" t="s">
        <v>165</v>
      </c>
      <c r="D1463" s="1" t="s">
        <v>9</v>
      </c>
      <c r="E1463" s="3">
        <v>88400</v>
      </c>
      <c r="G1463" s="9">
        <f t="shared" si="31"/>
        <v>6237333</v>
      </c>
    </row>
    <row r="1464" spans="1:7" x14ac:dyDescent="0.2">
      <c r="A1464" s="12">
        <v>45061</v>
      </c>
      <c r="C1464" s="2" t="s">
        <v>989</v>
      </c>
      <c r="D1464" s="1" t="s">
        <v>9</v>
      </c>
      <c r="F1464" s="3">
        <f>105609</f>
        <v>105609</v>
      </c>
      <c r="G1464" s="9">
        <f t="shared" si="31"/>
        <v>6131724</v>
      </c>
    </row>
    <row r="1465" spans="1:7" x14ac:dyDescent="0.2">
      <c r="A1465" s="12">
        <v>45061</v>
      </c>
      <c r="C1465" s="2" t="s">
        <v>990</v>
      </c>
      <c r="D1465" s="1" t="s">
        <v>9</v>
      </c>
      <c r="F1465" s="3">
        <f>830962</f>
        <v>830962</v>
      </c>
      <c r="G1465" s="9">
        <f t="shared" si="31"/>
        <v>5300762</v>
      </c>
    </row>
    <row r="1466" spans="1:7" x14ac:dyDescent="0.2">
      <c r="A1466" s="12">
        <v>45061</v>
      </c>
      <c r="C1466" s="2" t="s">
        <v>991</v>
      </c>
      <c r="D1466" s="1" t="s">
        <v>9</v>
      </c>
      <c r="F1466" s="3">
        <f>141044+275</f>
        <v>141319</v>
      </c>
      <c r="G1466" s="9">
        <f t="shared" si="31"/>
        <v>5159443</v>
      </c>
    </row>
    <row r="1467" spans="1:7" x14ac:dyDescent="0.2">
      <c r="A1467" s="12">
        <v>45061</v>
      </c>
      <c r="C1467" s="2" t="s">
        <v>992</v>
      </c>
      <c r="D1467" s="1" t="s">
        <v>9</v>
      </c>
      <c r="F1467" s="3">
        <f>487359+275</f>
        <v>487634</v>
      </c>
      <c r="G1467" s="9">
        <f t="shared" si="31"/>
        <v>4671809</v>
      </c>
    </row>
    <row r="1468" spans="1:7" x14ac:dyDescent="0.2">
      <c r="A1468" s="12">
        <v>45061</v>
      </c>
      <c r="C1468" s="2" t="s">
        <v>993</v>
      </c>
      <c r="D1468" s="1" t="s">
        <v>9</v>
      </c>
      <c r="F1468" s="3">
        <f>548666+275</f>
        <v>548941</v>
      </c>
      <c r="G1468" s="9">
        <f t="shared" si="31"/>
        <v>4122868</v>
      </c>
    </row>
    <row r="1469" spans="1:7" x14ac:dyDescent="0.2">
      <c r="A1469" s="12">
        <v>45061</v>
      </c>
      <c r="C1469" s="2" t="s">
        <v>994</v>
      </c>
      <c r="D1469" s="1" t="s">
        <v>9</v>
      </c>
      <c r="F1469" s="3">
        <f>470684</f>
        <v>470684</v>
      </c>
      <c r="G1469" s="9">
        <f t="shared" si="31"/>
        <v>3652184</v>
      </c>
    </row>
    <row r="1470" spans="1:7" x14ac:dyDescent="0.2">
      <c r="A1470" s="12">
        <v>45061</v>
      </c>
      <c r="C1470" s="2" t="s">
        <v>1454</v>
      </c>
      <c r="D1470" s="1" t="s">
        <v>9</v>
      </c>
      <c r="E1470" s="3">
        <f>146367+83367+700000+564819+367092+600000</f>
        <v>2461645</v>
      </c>
      <c r="G1470" s="9">
        <f t="shared" si="31"/>
        <v>6113829</v>
      </c>
    </row>
    <row r="1471" spans="1:7" x14ac:dyDescent="0.2">
      <c r="A1471" s="12">
        <v>45061</v>
      </c>
      <c r="C1471" s="2" t="s">
        <v>137</v>
      </c>
      <c r="D1471" s="1" t="s">
        <v>9</v>
      </c>
      <c r="E1471" s="3">
        <v>261783</v>
      </c>
      <c r="G1471" s="9">
        <f t="shared" si="31"/>
        <v>6375612</v>
      </c>
    </row>
    <row r="1472" spans="1:7" x14ac:dyDescent="0.2">
      <c r="A1472" s="12">
        <v>45061</v>
      </c>
      <c r="C1472" s="2" t="s">
        <v>137</v>
      </c>
      <c r="D1472" s="1" t="s">
        <v>9</v>
      </c>
      <c r="E1472" s="3">
        <v>1254112</v>
      </c>
      <c r="G1472" s="9">
        <f t="shared" si="31"/>
        <v>7629724</v>
      </c>
    </row>
    <row r="1473" spans="1:7" x14ac:dyDescent="0.2">
      <c r="A1473" s="12">
        <v>45062</v>
      </c>
      <c r="C1473" s="2" t="s">
        <v>995</v>
      </c>
      <c r="D1473" s="1" t="s">
        <v>9</v>
      </c>
      <c r="E1473" s="3">
        <f>240720+860443+100812</f>
        <v>1201975</v>
      </c>
      <c r="G1473" s="9">
        <f t="shared" si="31"/>
        <v>8831699</v>
      </c>
    </row>
    <row r="1474" spans="1:7" x14ac:dyDescent="0.2">
      <c r="A1474" s="12">
        <v>45062</v>
      </c>
      <c r="B1474" s="1" t="s">
        <v>996</v>
      </c>
      <c r="C1474" s="2" t="s">
        <v>997</v>
      </c>
      <c r="D1474" s="1" t="s">
        <v>9</v>
      </c>
      <c r="F1474" s="3">
        <v>410100</v>
      </c>
      <c r="G1474" s="9">
        <f t="shared" si="31"/>
        <v>8421599</v>
      </c>
    </row>
    <row r="1475" spans="1:7" x14ac:dyDescent="0.2">
      <c r="A1475" s="20">
        <v>45062</v>
      </c>
      <c r="B1475" s="21"/>
      <c r="C1475" s="22" t="s">
        <v>897</v>
      </c>
      <c r="D1475" s="21" t="s">
        <v>9</v>
      </c>
      <c r="E1475" s="23"/>
      <c r="F1475" s="23">
        <v>3444595</v>
      </c>
      <c r="G1475" s="9">
        <f t="shared" si="31"/>
        <v>4977004</v>
      </c>
    </row>
    <row r="1476" spans="1:7" x14ac:dyDescent="0.2">
      <c r="A1476" s="20">
        <v>45062</v>
      </c>
      <c r="B1476" s="21"/>
      <c r="C1476" s="22" t="s">
        <v>528</v>
      </c>
      <c r="D1476" s="21" t="s">
        <v>9</v>
      </c>
      <c r="E1476" s="23"/>
      <c r="F1476" s="23">
        <v>5000</v>
      </c>
      <c r="G1476" s="9">
        <f t="shared" si="31"/>
        <v>4972004</v>
      </c>
    </row>
    <row r="1477" spans="1:7" x14ac:dyDescent="0.2">
      <c r="A1477" s="20">
        <v>45062</v>
      </c>
      <c r="B1477" s="21"/>
      <c r="C1477" s="22" t="s">
        <v>711</v>
      </c>
      <c r="D1477" s="21" t="s">
        <v>9</v>
      </c>
      <c r="E1477" s="23"/>
      <c r="F1477" s="23">
        <v>20336</v>
      </c>
      <c r="G1477" s="9">
        <f t="shared" si="31"/>
        <v>4951668</v>
      </c>
    </row>
    <row r="1478" spans="1:7" x14ac:dyDescent="0.2">
      <c r="A1478" s="20">
        <v>45062</v>
      </c>
      <c r="B1478" s="21"/>
      <c r="C1478" s="22" t="s">
        <v>528</v>
      </c>
      <c r="D1478" s="21" t="s">
        <v>9</v>
      </c>
      <c r="E1478" s="23"/>
      <c r="F1478" s="23">
        <v>5000</v>
      </c>
      <c r="G1478" s="9">
        <f t="shared" si="31"/>
        <v>4946668</v>
      </c>
    </row>
    <row r="1479" spans="1:7" x14ac:dyDescent="0.2">
      <c r="A1479" s="12">
        <v>45065</v>
      </c>
      <c r="C1479" s="2" t="s">
        <v>906</v>
      </c>
      <c r="D1479" s="1" t="s">
        <v>9</v>
      </c>
      <c r="E1479" s="3">
        <v>396393</v>
      </c>
      <c r="G1479" s="9">
        <f t="shared" si="31"/>
        <v>5343061</v>
      </c>
    </row>
    <row r="1480" spans="1:7" x14ac:dyDescent="0.2">
      <c r="A1480" s="12">
        <v>45065</v>
      </c>
      <c r="C1480" s="2" t="s">
        <v>165</v>
      </c>
      <c r="D1480" s="1" t="s">
        <v>9</v>
      </c>
      <c r="E1480" s="3">
        <v>21120</v>
      </c>
      <c r="G1480" s="9">
        <f t="shared" si="31"/>
        <v>5364181</v>
      </c>
    </row>
    <row r="1481" spans="1:7" x14ac:dyDescent="0.2">
      <c r="A1481" s="12">
        <v>45065</v>
      </c>
      <c r="C1481" s="2" t="s">
        <v>808</v>
      </c>
      <c r="D1481" s="1" t="s">
        <v>9</v>
      </c>
      <c r="E1481" s="3">
        <v>123269</v>
      </c>
      <c r="G1481" s="9">
        <f t="shared" si="31"/>
        <v>5487450</v>
      </c>
    </row>
    <row r="1482" spans="1:7" x14ac:dyDescent="0.2">
      <c r="A1482" s="12">
        <v>45068</v>
      </c>
      <c r="C1482" s="2" t="s">
        <v>35</v>
      </c>
      <c r="D1482" s="1" t="s">
        <v>9</v>
      </c>
      <c r="F1482" s="3">
        <v>6600</v>
      </c>
      <c r="G1482" s="9">
        <f t="shared" si="31"/>
        <v>5480850</v>
      </c>
    </row>
    <row r="1483" spans="1:7" x14ac:dyDescent="0.2">
      <c r="A1483" s="12">
        <v>45068</v>
      </c>
      <c r="C1483" s="2" t="s">
        <v>829</v>
      </c>
      <c r="D1483" s="1" t="s">
        <v>9</v>
      </c>
      <c r="F1483" s="3">
        <v>5400</v>
      </c>
      <c r="G1483" s="9">
        <f t="shared" si="31"/>
        <v>5475450</v>
      </c>
    </row>
    <row r="1484" spans="1:7" x14ac:dyDescent="0.2">
      <c r="A1484" s="12">
        <v>45068</v>
      </c>
      <c r="C1484" s="22" t="s">
        <v>528</v>
      </c>
      <c r="D1484" s="1" t="s">
        <v>9</v>
      </c>
      <c r="F1484" s="3">
        <v>5000</v>
      </c>
      <c r="G1484" s="9">
        <f t="shared" si="31"/>
        <v>5470450</v>
      </c>
    </row>
    <row r="1485" spans="1:7" x14ac:dyDescent="0.2">
      <c r="A1485" s="12">
        <v>45069</v>
      </c>
      <c r="C1485" s="2" t="s">
        <v>998</v>
      </c>
      <c r="D1485" s="1" t="s">
        <v>9</v>
      </c>
      <c r="E1485" s="3">
        <f>630318+64670+194080+3139604</f>
        <v>4028672</v>
      </c>
      <c r="G1485" s="9">
        <f t="shared" si="31"/>
        <v>9499122</v>
      </c>
    </row>
    <row r="1486" spans="1:7" x14ac:dyDescent="0.2">
      <c r="A1486" s="12">
        <v>45069</v>
      </c>
      <c r="C1486" s="2" t="s">
        <v>999</v>
      </c>
      <c r="D1486" s="1" t="s">
        <v>9</v>
      </c>
      <c r="E1486" s="3">
        <v>21063</v>
      </c>
      <c r="G1486" s="9">
        <f t="shared" si="31"/>
        <v>9520185</v>
      </c>
    </row>
    <row r="1487" spans="1:7" x14ac:dyDescent="0.2">
      <c r="A1487" s="12">
        <v>45069</v>
      </c>
      <c r="C1487" s="2" t="s">
        <v>999</v>
      </c>
      <c r="D1487" s="1" t="s">
        <v>9</v>
      </c>
      <c r="E1487" s="3">
        <v>283098</v>
      </c>
      <c r="G1487" s="9">
        <f t="shared" si="31"/>
        <v>9803283</v>
      </c>
    </row>
    <row r="1488" spans="1:7" x14ac:dyDescent="0.2">
      <c r="A1488" s="12">
        <v>45070</v>
      </c>
      <c r="C1488" s="2" t="s">
        <v>27</v>
      </c>
      <c r="D1488" s="1" t="s">
        <v>9</v>
      </c>
      <c r="F1488" s="3">
        <v>150000</v>
      </c>
      <c r="G1488" s="9">
        <f t="shared" si="31"/>
        <v>9653283</v>
      </c>
    </row>
    <row r="1489" spans="1:9" x14ac:dyDescent="0.2">
      <c r="A1489" s="12">
        <v>45070</v>
      </c>
      <c r="C1489" s="2" t="s">
        <v>189</v>
      </c>
      <c r="D1489" s="1" t="s">
        <v>9</v>
      </c>
      <c r="E1489" s="3">
        <v>35872</v>
      </c>
      <c r="G1489" s="9">
        <f t="shared" si="31"/>
        <v>9689155</v>
      </c>
    </row>
    <row r="1490" spans="1:9" x14ac:dyDescent="0.2">
      <c r="A1490" s="12">
        <v>45070</v>
      </c>
      <c r="C1490" s="2" t="s">
        <v>906</v>
      </c>
      <c r="D1490" s="1" t="s">
        <v>9</v>
      </c>
      <c r="E1490" s="3">
        <v>100240</v>
      </c>
      <c r="G1490" s="9">
        <f t="shared" si="31"/>
        <v>9789395</v>
      </c>
    </row>
    <row r="1491" spans="1:9" x14ac:dyDescent="0.2">
      <c r="A1491" s="12">
        <v>45070</v>
      </c>
      <c r="C1491" s="2" t="s">
        <v>505</v>
      </c>
      <c r="D1491" s="1" t="s">
        <v>9</v>
      </c>
      <c r="E1491" s="3">
        <v>121338</v>
      </c>
      <c r="G1491" s="9">
        <f t="shared" si="31"/>
        <v>9910733</v>
      </c>
    </row>
    <row r="1492" spans="1:9" x14ac:dyDescent="0.2">
      <c r="A1492" s="12">
        <v>45071</v>
      </c>
      <c r="C1492" s="2" t="s">
        <v>1000</v>
      </c>
      <c r="D1492" s="1" t="s">
        <v>9</v>
      </c>
      <c r="F1492" s="3">
        <f>3418422+92814</f>
        <v>3511236</v>
      </c>
      <c r="G1492" s="9">
        <f t="shared" si="31"/>
        <v>6399497</v>
      </c>
    </row>
    <row r="1493" spans="1:9" x14ac:dyDescent="0.2">
      <c r="A1493" s="12">
        <v>45071</v>
      </c>
      <c r="C1493" s="2" t="s">
        <v>1001</v>
      </c>
      <c r="D1493" s="1" t="s">
        <v>9</v>
      </c>
      <c r="E1493" s="3">
        <f>767295+3037+292179+158200+26847+197232+1000908</f>
        <v>2445698</v>
      </c>
      <c r="G1493" s="9">
        <f t="shared" si="31"/>
        <v>8845195</v>
      </c>
    </row>
    <row r="1494" spans="1:9" x14ac:dyDescent="0.2">
      <c r="A1494" s="12">
        <v>45071</v>
      </c>
      <c r="C1494" s="2" t="s">
        <v>1004</v>
      </c>
      <c r="D1494" s="1" t="s">
        <v>9</v>
      </c>
      <c r="F1494" s="3">
        <v>15000</v>
      </c>
      <c r="G1494" s="9">
        <f t="shared" si="31"/>
        <v>8830195</v>
      </c>
    </row>
    <row r="1495" spans="1:9" x14ac:dyDescent="0.2">
      <c r="A1495" s="12">
        <v>45076</v>
      </c>
      <c r="C1495" s="2" t="s">
        <v>1002</v>
      </c>
      <c r="D1495" s="25" t="s">
        <v>9</v>
      </c>
      <c r="E1495" s="3">
        <f>29028+808182+33099+1482859</f>
        <v>2353168</v>
      </c>
      <c r="G1495" s="9">
        <f t="shared" si="31"/>
        <v>11183363</v>
      </c>
    </row>
    <row r="1496" spans="1:9" x14ac:dyDescent="0.2">
      <c r="A1496" s="12">
        <v>45077</v>
      </c>
      <c r="C1496" s="2" t="s">
        <v>1005</v>
      </c>
      <c r="D1496" s="1" t="s">
        <v>9</v>
      </c>
      <c r="F1496" s="3">
        <f>3250868</f>
        <v>3250868</v>
      </c>
      <c r="G1496" s="9">
        <f t="shared" si="31"/>
        <v>7932495</v>
      </c>
    </row>
    <row r="1497" spans="1:9" x14ac:dyDescent="0.2">
      <c r="A1497" s="12">
        <v>45077</v>
      </c>
      <c r="C1497" s="2" t="s">
        <v>34</v>
      </c>
      <c r="D1497" s="1" t="s">
        <v>9</v>
      </c>
      <c r="F1497" s="3">
        <v>275</v>
      </c>
      <c r="G1497" s="9">
        <f t="shared" si="31"/>
        <v>7932220</v>
      </c>
    </row>
    <row r="1498" spans="1:9" x14ac:dyDescent="0.2">
      <c r="A1498" s="12">
        <v>45077</v>
      </c>
      <c r="C1498" s="2" t="s">
        <v>497</v>
      </c>
      <c r="D1498" s="1" t="s">
        <v>9</v>
      </c>
      <c r="E1498" s="3">
        <v>248095</v>
      </c>
      <c r="G1498" s="9">
        <f t="shared" si="31"/>
        <v>8180315</v>
      </c>
    </row>
    <row r="1499" spans="1:9" x14ac:dyDescent="0.2">
      <c r="A1499" s="12">
        <v>45077</v>
      </c>
      <c r="C1499" s="2" t="s">
        <v>1011</v>
      </c>
      <c r="D1499" s="1" t="s">
        <v>9</v>
      </c>
      <c r="F1499" s="3">
        <v>41172</v>
      </c>
      <c r="G1499" s="9">
        <f t="shared" si="31"/>
        <v>8139143</v>
      </c>
    </row>
    <row r="1500" spans="1:9" s="28" customFormat="1" ht="15.75" x14ac:dyDescent="0.25">
      <c r="A1500" s="10" t="s">
        <v>1007</v>
      </c>
      <c r="B1500" s="1"/>
      <c r="C1500" s="2"/>
      <c r="D1500" s="1"/>
      <c r="E1500" s="3"/>
      <c r="F1500" s="3"/>
      <c r="G1500" s="9"/>
      <c r="H1500" s="27"/>
      <c r="I1500" s="26"/>
    </row>
    <row r="1501" spans="1:9" s="28" customFormat="1" x14ac:dyDescent="0.2">
      <c r="A1501" s="11" t="s">
        <v>2</v>
      </c>
      <c r="B1501" s="5" t="s">
        <v>1</v>
      </c>
      <c r="C1501" s="5" t="s">
        <v>3</v>
      </c>
      <c r="D1501" s="5"/>
      <c r="E1501" s="7" t="s">
        <v>4</v>
      </c>
      <c r="F1501" s="7" t="s">
        <v>6</v>
      </c>
      <c r="G1501" s="8" t="s">
        <v>5</v>
      </c>
      <c r="H1501" s="27"/>
      <c r="I1501" s="26"/>
    </row>
    <row r="1502" spans="1:9" x14ac:dyDescent="0.2">
      <c r="A1502" s="12">
        <v>45078</v>
      </c>
      <c r="B1502" s="1" t="s">
        <v>1009</v>
      </c>
      <c r="C1502" s="22" t="s">
        <v>1006</v>
      </c>
      <c r="D1502" s="1" t="s">
        <v>9</v>
      </c>
      <c r="F1502" s="3">
        <v>670000</v>
      </c>
      <c r="G1502" s="9">
        <f>G1499+E1502-F1502</f>
        <v>7469143</v>
      </c>
    </row>
    <row r="1503" spans="1:9" x14ac:dyDescent="0.2">
      <c r="A1503" s="12">
        <v>45078</v>
      </c>
      <c r="B1503" s="1" t="s">
        <v>1010</v>
      </c>
      <c r="C1503" s="22" t="s">
        <v>1008</v>
      </c>
      <c r="D1503" s="1" t="s">
        <v>9</v>
      </c>
      <c r="F1503" s="3">
        <v>470379</v>
      </c>
      <c r="G1503" s="9">
        <f t="shared" si="31"/>
        <v>6998764</v>
      </c>
    </row>
    <row r="1504" spans="1:9" x14ac:dyDescent="0.2">
      <c r="A1504" s="12">
        <v>45082</v>
      </c>
      <c r="C1504" s="2" t="s">
        <v>963</v>
      </c>
      <c r="D1504" s="1" t="s">
        <v>9</v>
      </c>
      <c r="E1504" s="3">
        <v>83230</v>
      </c>
      <c r="G1504" s="9">
        <f t="shared" si="31"/>
        <v>7081994</v>
      </c>
    </row>
    <row r="1505" spans="1:7" x14ac:dyDescent="0.2">
      <c r="A1505" s="12">
        <v>45083</v>
      </c>
      <c r="C1505" s="2" t="s">
        <v>377</v>
      </c>
      <c r="D1505" s="1" t="s">
        <v>9</v>
      </c>
      <c r="E1505" s="3">
        <v>2800000</v>
      </c>
      <c r="G1505" s="9">
        <f t="shared" si="31"/>
        <v>9881994</v>
      </c>
    </row>
    <row r="1506" spans="1:7" x14ac:dyDescent="0.2">
      <c r="A1506" s="12">
        <v>45083</v>
      </c>
      <c r="C1506" s="2" t="s">
        <v>53</v>
      </c>
      <c r="D1506" s="1" t="s">
        <v>9</v>
      </c>
      <c r="F1506" s="3">
        <v>100</v>
      </c>
      <c r="G1506" s="9">
        <f t="shared" si="31"/>
        <v>9881894</v>
      </c>
    </row>
    <row r="1507" spans="1:7" x14ac:dyDescent="0.2">
      <c r="A1507" s="20">
        <v>45084</v>
      </c>
      <c r="B1507" s="21"/>
      <c r="C1507" s="22" t="s">
        <v>1017</v>
      </c>
      <c r="D1507" s="21" t="s">
        <v>9</v>
      </c>
      <c r="E1507" s="23">
        <f>330418+1253467+17391</f>
        <v>1601276</v>
      </c>
      <c r="F1507" s="23"/>
      <c r="G1507" s="9">
        <f t="shared" si="31"/>
        <v>11483170</v>
      </c>
    </row>
    <row r="1508" spans="1:7" x14ac:dyDescent="0.2">
      <c r="A1508" s="20">
        <v>45085</v>
      </c>
      <c r="B1508" s="21"/>
      <c r="C1508" s="22" t="s">
        <v>1013</v>
      </c>
      <c r="D1508" s="21" t="s">
        <v>9</v>
      </c>
      <c r="E1508" s="23"/>
      <c r="F1508" s="23">
        <f>5443785</f>
        <v>5443785</v>
      </c>
      <c r="G1508" s="9">
        <f t="shared" ref="G1508:G1576" si="32">G1507+E1508-F1508</f>
        <v>6039385</v>
      </c>
    </row>
    <row r="1509" spans="1:7" x14ac:dyDescent="0.2">
      <c r="A1509" s="20">
        <v>45085</v>
      </c>
      <c r="B1509" s="21"/>
      <c r="C1509" s="22" t="s">
        <v>1018</v>
      </c>
      <c r="D1509" s="21" t="s">
        <v>9</v>
      </c>
      <c r="E1509" s="23">
        <f>102678+12031+89267+762096+207656</f>
        <v>1173728</v>
      </c>
      <c r="F1509" s="23"/>
      <c r="G1509" s="9">
        <f t="shared" si="32"/>
        <v>7213113</v>
      </c>
    </row>
    <row r="1510" spans="1:7" x14ac:dyDescent="0.2">
      <c r="A1510" s="20">
        <v>45085</v>
      </c>
      <c r="B1510" s="21"/>
      <c r="C1510" s="22" t="s">
        <v>701</v>
      </c>
      <c r="D1510" s="21" t="s">
        <v>9</v>
      </c>
      <c r="E1510" s="23">
        <v>361080</v>
      </c>
      <c r="F1510" s="23"/>
      <c r="G1510" s="9">
        <f t="shared" si="32"/>
        <v>7574193</v>
      </c>
    </row>
    <row r="1511" spans="1:7" x14ac:dyDescent="0.2">
      <c r="A1511" s="12">
        <v>45086</v>
      </c>
      <c r="B1511" s="1" t="s">
        <v>1014</v>
      </c>
      <c r="C1511" s="22" t="s">
        <v>889</v>
      </c>
      <c r="D1511" s="1" t="s">
        <v>9</v>
      </c>
      <c r="F1511" s="3">
        <v>560000</v>
      </c>
      <c r="G1511" s="9">
        <f t="shared" si="32"/>
        <v>7014193</v>
      </c>
    </row>
    <row r="1512" spans="1:7" x14ac:dyDescent="0.2">
      <c r="A1512" s="12">
        <v>45086</v>
      </c>
      <c r="C1512" s="2" t="s">
        <v>1012</v>
      </c>
      <c r="D1512" s="1" t="s">
        <v>9</v>
      </c>
      <c r="E1512" s="3">
        <f>692188+243944+201117+678028</f>
        <v>1815277</v>
      </c>
      <c r="G1512" s="9">
        <f t="shared" si="32"/>
        <v>8829470</v>
      </c>
    </row>
    <row r="1513" spans="1:7" x14ac:dyDescent="0.2">
      <c r="A1513" s="12">
        <v>45086</v>
      </c>
      <c r="C1513" s="2" t="s">
        <v>1015</v>
      </c>
      <c r="D1513" s="1" t="s">
        <v>9</v>
      </c>
      <c r="F1513" s="3">
        <f>6498809+153647</f>
        <v>6652456</v>
      </c>
      <c r="G1513" s="9">
        <f t="shared" si="32"/>
        <v>2177014</v>
      </c>
    </row>
    <row r="1514" spans="1:7" x14ac:dyDescent="0.2">
      <c r="A1514" s="12">
        <v>45086</v>
      </c>
      <c r="C1514" s="2" t="s">
        <v>35</v>
      </c>
      <c r="D1514" s="1" t="s">
        <v>9</v>
      </c>
      <c r="F1514" s="3">
        <v>6600</v>
      </c>
      <c r="G1514" s="9">
        <f t="shared" si="32"/>
        <v>2170414</v>
      </c>
    </row>
    <row r="1515" spans="1:7" x14ac:dyDescent="0.2">
      <c r="A1515" s="12">
        <v>45090</v>
      </c>
      <c r="C1515" s="2" t="s">
        <v>1016</v>
      </c>
      <c r="D1515" s="1" t="s">
        <v>9</v>
      </c>
      <c r="F1515" s="3">
        <v>4087865</v>
      </c>
      <c r="G1515" s="9">
        <f t="shared" si="32"/>
        <v>-1917451</v>
      </c>
    </row>
    <row r="1516" spans="1:7" x14ac:dyDescent="0.2">
      <c r="A1516" s="12">
        <v>45091</v>
      </c>
      <c r="C1516" s="22" t="s">
        <v>528</v>
      </c>
      <c r="D1516" s="1" t="s">
        <v>9</v>
      </c>
      <c r="F1516" s="3">
        <v>5000</v>
      </c>
      <c r="G1516" s="9">
        <f t="shared" si="32"/>
        <v>-1922451</v>
      </c>
    </row>
    <row r="1517" spans="1:7" x14ac:dyDescent="0.2">
      <c r="A1517" s="12">
        <v>45092</v>
      </c>
      <c r="C1517" s="2" t="s">
        <v>1019</v>
      </c>
      <c r="D1517" s="1" t="s">
        <v>9</v>
      </c>
      <c r="F1517" s="3">
        <f>474360+275</f>
        <v>474635</v>
      </c>
      <c r="G1517" s="9">
        <f t="shared" si="32"/>
        <v>-2397086</v>
      </c>
    </row>
    <row r="1518" spans="1:7" x14ac:dyDescent="0.2">
      <c r="A1518" s="12">
        <v>45092</v>
      </c>
      <c r="C1518" s="2" t="s">
        <v>1020</v>
      </c>
      <c r="D1518" s="1" t="s">
        <v>9</v>
      </c>
      <c r="F1518" s="3">
        <f>164256</f>
        <v>164256</v>
      </c>
      <c r="G1518" s="9">
        <f t="shared" si="32"/>
        <v>-2561342</v>
      </c>
    </row>
    <row r="1519" spans="1:7" x14ac:dyDescent="0.2">
      <c r="A1519" s="12">
        <v>45092</v>
      </c>
      <c r="C1519" s="2" t="s">
        <v>706</v>
      </c>
      <c r="D1519" s="1" t="s">
        <v>9</v>
      </c>
      <c r="F1519" s="3">
        <f>470689+275</f>
        <v>470964</v>
      </c>
      <c r="G1519" s="9">
        <f t="shared" si="32"/>
        <v>-3032306</v>
      </c>
    </row>
    <row r="1520" spans="1:7" x14ac:dyDescent="0.2">
      <c r="A1520" s="12">
        <v>45092</v>
      </c>
      <c r="C1520" s="2" t="s">
        <v>1021</v>
      </c>
      <c r="D1520" s="1" t="s">
        <v>9</v>
      </c>
      <c r="F1520" s="3">
        <f>211572+275</f>
        <v>211847</v>
      </c>
      <c r="G1520" s="9">
        <f t="shared" si="32"/>
        <v>-3244153</v>
      </c>
    </row>
    <row r="1521" spans="1:9" x14ac:dyDescent="0.2">
      <c r="A1521" s="12">
        <v>45092</v>
      </c>
      <c r="C1521" s="2" t="s">
        <v>1022</v>
      </c>
      <c r="D1521" s="1" t="s">
        <v>9</v>
      </c>
      <c r="F1521" s="3">
        <f>6284665+149424</f>
        <v>6434089</v>
      </c>
      <c r="G1521" s="9">
        <f t="shared" si="32"/>
        <v>-9678242</v>
      </c>
    </row>
    <row r="1522" spans="1:9" x14ac:dyDescent="0.2">
      <c r="A1522" s="12">
        <v>45092</v>
      </c>
      <c r="C1522" s="2" t="s">
        <v>1023</v>
      </c>
      <c r="D1522" s="1" t="s">
        <v>9</v>
      </c>
      <c r="E1522" s="3">
        <f>371110+1116598+26196+276592+25577+687917</f>
        <v>2503990</v>
      </c>
      <c r="G1522" s="9">
        <f t="shared" si="32"/>
        <v>-7174252</v>
      </c>
    </row>
    <row r="1523" spans="1:9" x14ac:dyDescent="0.2">
      <c r="A1523" s="12">
        <v>45092</v>
      </c>
      <c r="C1523" s="2" t="s">
        <v>1026</v>
      </c>
      <c r="D1523" s="1" t="s">
        <v>9</v>
      </c>
      <c r="E1523" s="3">
        <v>936448</v>
      </c>
      <c r="G1523" s="9">
        <f t="shared" si="32"/>
        <v>-6237804</v>
      </c>
    </row>
    <row r="1524" spans="1:9" x14ac:dyDescent="0.2">
      <c r="A1524" s="12">
        <v>45092</v>
      </c>
      <c r="C1524" s="2" t="s">
        <v>1026</v>
      </c>
      <c r="D1524" s="1" t="s">
        <v>9</v>
      </c>
      <c r="E1524" s="3">
        <v>1519545</v>
      </c>
      <c r="G1524" s="9">
        <f t="shared" si="32"/>
        <v>-4718259</v>
      </c>
    </row>
    <row r="1525" spans="1:9" x14ac:dyDescent="0.2">
      <c r="A1525" s="12">
        <v>45092</v>
      </c>
      <c r="C1525" s="2" t="s">
        <v>35</v>
      </c>
      <c r="D1525" s="1" t="s">
        <v>9</v>
      </c>
      <c r="F1525" s="3">
        <v>6600</v>
      </c>
      <c r="G1525" s="9">
        <f t="shared" si="32"/>
        <v>-4724859</v>
      </c>
    </row>
    <row r="1526" spans="1:9" x14ac:dyDescent="0.2">
      <c r="A1526" s="12">
        <v>45092</v>
      </c>
      <c r="C1526" s="22" t="s">
        <v>528</v>
      </c>
      <c r="D1526" s="1" t="s">
        <v>9</v>
      </c>
      <c r="F1526" s="3">
        <v>5000</v>
      </c>
      <c r="G1526" s="9">
        <f t="shared" si="32"/>
        <v>-4729859</v>
      </c>
    </row>
    <row r="1527" spans="1:9" x14ac:dyDescent="0.2">
      <c r="A1527" s="12">
        <v>45093</v>
      </c>
      <c r="C1527" s="22" t="s">
        <v>897</v>
      </c>
      <c r="D1527" s="1" t="s">
        <v>9</v>
      </c>
      <c r="F1527" s="3">
        <v>4783499</v>
      </c>
      <c r="G1527" s="9">
        <f t="shared" si="32"/>
        <v>-9513358</v>
      </c>
    </row>
    <row r="1528" spans="1:9" x14ac:dyDescent="0.2">
      <c r="A1528" s="12">
        <v>45093</v>
      </c>
      <c r="C1528" s="22" t="s">
        <v>711</v>
      </c>
      <c r="D1528" s="1" t="s">
        <v>9</v>
      </c>
      <c r="F1528" s="3">
        <v>27824</v>
      </c>
      <c r="G1528" s="9">
        <f t="shared" si="32"/>
        <v>-9541182</v>
      </c>
    </row>
    <row r="1529" spans="1:9" x14ac:dyDescent="0.2">
      <c r="A1529" s="12">
        <v>45093</v>
      </c>
      <c r="C1529" s="2" t="s">
        <v>1024</v>
      </c>
      <c r="D1529" s="1" t="s">
        <v>9</v>
      </c>
      <c r="E1529" s="3">
        <f>209049+225473+1786784</f>
        <v>2221306</v>
      </c>
      <c r="G1529" s="9">
        <f t="shared" si="32"/>
        <v>-7319876</v>
      </c>
    </row>
    <row r="1530" spans="1:9" s="28" customFormat="1" x14ac:dyDescent="0.2">
      <c r="A1530" s="20">
        <v>45093</v>
      </c>
      <c r="B1530" s="21" t="s">
        <v>1025</v>
      </c>
      <c r="C1530" s="22" t="s">
        <v>150</v>
      </c>
      <c r="D1530" s="21" t="s">
        <v>9</v>
      </c>
      <c r="E1530" s="23"/>
      <c r="F1530" s="23">
        <v>420000</v>
      </c>
      <c r="G1530" s="26">
        <f t="shared" si="32"/>
        <v>-7739876</v>
      </c>
      <c r="H1530" s="27"/>
      <c r="I1530" s="26"/>
    </row>
    <row r="1531" spans="1:9" x14ac:dyDescent="0.2">
      <c r="A1531" s="12">
        <v>45093</v>
      </c>
      <c r="C1531" s="22" t="s">
        <v>258</v>
      </c>
      <c r="D1531" s="21" t="s">
        <v>9</v>
      </c>
      <c r="E1531" s="23">
        <v>1344700</v>
      </c>
      <c r="G1531" s="9">
        <f t="shared" si="32"/>
        <v>-6395176</v>
      </c>
    </row>
    <row r="1532" spans="1:9" x14ac:dyDescent="0.2">
      <c r="A1532" s="12">
        <v>45096</v>
      </c>
      <c r="C1532" s="22" t="s">
        <v>1028</v>
      </c>
      <c r="D1532" s="21" t="s">
        <v>9</v>
      </c>
      <c r="E1532" s="23">
        <v>1824207</v>
      </c>
      <c r="G1532" s="9">
        <f t="shared" si="32"/>
        <v>-4570969</v>
      </c>
    </row>
    <row r="1533" spans="1:9" x14ac:dyDescent="0.2">
      <c r="A1533" s="12">
        <v>45097</v>
      </c>
      <c r="C1533" s="22" t="s">
        <v>1027</v>
      </c>
      <c r="D1533" s="21" t="s">
        <v>9</v>
      </c>
      <c r="E1533" s="23">
        <f>1919861+160480+389600+37288+1565382</f>
        <v>4072611</v>
      </c>
      <c r="G1533" s="9">
        <f t="shared" si="32"/>
        <v>-498358</v>
      </c>
    </row>
    <row r="1534" spans="1:9" x14ac:dyDescent="0.2">
      <c r="A1534" s="12">
        <v>45097</v>
      </c>
      <c r="C1534" s="22" t="s">
        <v>505</v>
      </c>
      <c r="D1534" s="21" t="s">
        <v>9</v>
      </c>
      <c r="E1534" s="23">
        <v>620500</v>
      </c>
      <c r="G1534" s="9">
        <f t="shared" si="32"/>
        <v>122142</v>
      </c>
    </row>
    <row r="1535" spans="1:9" x14ac:dyDescent="0.2">
      <c r="A1535" s="12">
        <v>45099</v>
      </c>
      <c r="C1535" s="2" t="s">
        <v>1029</v>
      </c>
      <c r="D1535" s="1" t="s">
        <v>9</v>
      </c>
      <c r="F1535" s="3">
        <f>1486294</f>
        <v>1486294</v>
      </c>
      <c r="G1535" s="9">
        <f t="shared" si="32"/>
        <v>-1364152</v>
      </c>
    </row>
    <row r="1536" spans="1:9" x14ac:dyDescent="0.2">
      <c r="A1536" s="12">
        <v>45099</v>
      </c>
      <c r="C1536" s="2" t="s">
        <v>1030</v>
      </c>
      <c r="D1536" s="1" t="s">
        <v>9</v>
      </c>
      <c r="F1536" s="3">
        <f>4579780</f>
        <v>4579780</v>
      </c>
      <c r="G1536" s="9">
        <f t="shared" si="32"/>
        <v>-5943932</v>
      </c>
    </row>
    <row r="1537" spans="1:9" x14ac:dyDescent="0.2">
      <c r="A1537" s="12">
        <v>45099</v>
      </c>
      <c r="C1537" s="2" t="s">
        <v>258</v>
      </c>
      <c r="D1537" s="1" t="s">
        <v>9</v>
      </c>
      <c r="E1537" s="3">
        <v>487050</v>
      </c>
      <c r="G1537" s="9">
        <f t="shared" si="32"/>
        <v>-5456882</v>
      </c>
    </row>
    <row r="1538" spans="1:9" x14ac:dyDescent="0.2">
      <c r="A1538" s="12">
        <v>45099</v>
      </c>
      <c r="C1538" s="2" t="s">
        <v>505</v>
      </c>
      <c r="D1538" s="1" t="s">
        <v>9</v>
      </c>
      <c r="E1538" s="3">
        <v>156613</v>
      </c>
      <c r="G1538" s="9">
        <f t="shared" si="32"/>
        <v>-5300269</v>
      </c>
    </row>
    <row r="1539" spans="1:9" x14ac:dyDescent="0.2">
      <c r="A1539" s="12">
        <v>45100</v>
      </c>
      <c r="C1539" s="2" t="s">
        <v>35</v>
      </c>
      <c r="D1539" s="1" t="s">
        <v>9</v>
      </c>
      <c r="F1539" s="3">
        <v>6600</v>
      </c>
      <c r="G1539" s="9">
        <f t="shared" si="32"/>
        <v>-5306869</v>
      </c>
    </row>
    <row r="1540" spans="1:9" x14ac:dyDescent="0.2">
      <c r="A1540" s="12">
        <v>45100</v>
      </c>
      <c r="C1540" s="2" t="s">
        <v>27</v>
      </c>
      <c r="D1540" s="1" t="s">
        <v>9</v>
      </c>
      <c r="F1540" s="3">
        <v>150000</v>
      </c>
      <c r="G1540" s="9">
        <f t="shared" si="32"/>
        <v>-5456869</v>
      </c>
    </row>
    <row r="1541" spans="1:9" x14ac:dyDescent="0.2">
      <c r="A1541" s="12">
        <v>45100</v>
      </c>
      <c r="C1541" s="2" t="s">
        <v>783</v>
      </c>
      <c r="D1541" s="1" t="s">
        <v>9</v>
      </c>
      <c r="E1541" s="3">
        <v>536605</v>
      </c>
      <c r="G1541" s="9">
        <f t="shared" si="32"/>
        <v>-4920264</v>
      </c>
    </row>
    <row r="1542" spans="1:9" x14ac:dyDescent="0.2">
      <c r="A1542" s="12">
        <v>45103</v>
      </c>
      <c r="C1542" s="2" t="s">
        <v>1031</v>
      </c>
      <c r="D1542" s="1" t="s">
        <v>9</v>
      </c>
      <c r="F1542" s="3">
        <f>2000669+64817</f>
        <v>2065486</v>
      </c>
      <c r="G1542" s="9">
        <f t="shared" si="32"/>
        <v>-6985750</v>
      </c>
    </row>
    <row r="1543" spans="1:9" x14ac:dyDescent="0.2">
      <c r="A1543" s="12">
        <v>45103</v>
      </c>
      <c r="B1543" s="21" t="s">
        <v>1037</v>
      </c>
      <c r="C1543" s="2" t="s">
        <v>700</v>
      </c>
      <c r="D1543" s="1" t="s">
        <v>9</v>
      </c>
      <c r="F1543" s="3">
        <v>165000</v>
      </c>
      <c r="G1543" s="9">
        <f t="shared" si="32"/>
        <v>-7150750</v>
      </c>
    </row>
    <row r="1544" spans="1:9" x14ac:dyDescent="0.2">
      <c r="A1544" s="12">
        <v>45103</v>
      </c>
      <c r="B1544" s="21" t="s">
        <v>1034</v>
      </c>
      <c r="C1544" s="2" t="s">
        <v>724</v>
      </c>
      <c r="D1544" s="1" t="s">
        <v>9</v>
      </c>
      <c r="F1544" s="3">
        <v>600000</v>
      </c>
      <c r="G1544" s="9">
        <f t="shared" si="32"/>
        <v>-7750750</v>
      </c>
    </row>
    <row r="1545" spans="1:9" x14ac:dyDescent="0.2">
      <c r="A1545" s="12">
        <v>45103</v>
      </c>
      <c r="B1545" s="21" t="s">
        <v>1036</v>
      </c>
      <c r="C1545" s="22" t="s">
        <v>1032</v>
      </c>
      <c r="D1545" s="1" t="s">
        <v>9</v>
      </c>
      <c r="F1545" s="3">
        <v>590000</v>
      </c>
      <c r="G1545" s="9">
        <f t="shared" si="32"/>
        <v>-8340750</v>
      </c>
    </row>
    <row r="1546" spans="1:9" x14ac:dyDescent="0.2">
      <c r="A1546" s="12">
        <v>45103</v>
      </c>
      <c r="C1546" s="22" t="s">
        <v>1033</v>
      </c>
      <c r="D1546" s="1" t="s">
        <v>9</v>
      </c>
      <c r="E1546" s="3">
        <f>87320+120366+77738+109339+22090+804431</f>
        <v>1221284</v>
      </c>
      <c r="G1546" s="9">
        <f t="shared" si="32"/>
        <v>-7119466</v>
      </c>
    </row>
    <row r="1547" spans="1:9" x14ac:dyDescent="0.2">
      <c r="A1547" s="12">
        <v>45103</v>
      </c>
      <c r="B1547" s="21" t="s">
        <v>1035</v>
      </c>
      <c r="C1547" s="22" t="s">
        <v>832</v>
      </c>
      <c r="D1547" s="1" t="s">
        <v>9</v>
      </c>
      <c r="F1547" s="3">
        <v>410100</v>
      </c>
      <c r="G1547" s="9">
        <f t="shared" si="32"/>
        <v>-7529566</v>
      </c>
    </row>
    <row r="1548" spans="1:9" x14ac:dyDescent="0.2">
      <c r="A1548" s="12">
        <v>45104</v>
      </c>
      <c r="C1548" s="2" t="s">
        <v>35</v>
      </c>
      <c r="D1548" s="1" t="s">
        <v>9</v>
      </c>
      <c r="F1548" s="3">
        <v>6600</v>
      </c>
      <c r="G1548" s="9">
        <f t="shared" si="32"/>
        <v>-7536166</v>
      </c>
    </row>
    <row r="1549" spans="1:9" x14ac:dyDescent="0.2">
      <c r="A1549" s="12">
        <v>45107</v>
      </c>
      <c r="C1549" s="2" t="s">
        <v>1038</v>
      </c>
      <c r="D1549" s="1" t="s">
        <v>9</v>
      </c>
      <c r="F1549" s="3">
        <v>122061</v>
      </c>
      <c r="G1549" s="9">
        <f t="shared" si="32"/>
        <v>-7658227</v>
      </c>
    </row>
    <row r="1550" spans="1:9" x14ac:dyDescent="0.2">
      <c r="A1550" s="12">
        <v>45107</v>
      </c>
      <c r="C1550" s="2" t="s">
        <v>45</v>
      </c>
      <c r="D1550" s="1" t="s">
        <v>9</v>
      </c>
      <c r="E1550" s="3">
        <v>438771</v>
      </c>
      <c r="G1550" s="9">
        <f t="shared" si="32"/>
        <v>-7219456</v>
      </c>
    </row>
    <row r="1551" spans="1:9" x14ac:dyDescent="0.2">
      <c r="A1551" s="12">
        <v>45107</v>
      </c>
      <c r="C1551" s="2" t="s">
        <v>116</v>
      </c>
      <c r="D1551" s="1" t="s">
        <v>9</v>
      </c>
      <c r="E1551" s="3">
        <v>46020</v>
      </c>
      <c r="G1551" s="9">
        <f t="shared" si="32"/>
        <v>-7173436</v>
      </c>
    </row>
    <row r="1552" spans="1:9" s="28" customFormat="1" ht="15.75" x14ac:dyDescent="0.25">
      <c r="A1552" s="10" t="s">
        <v>1039</v>
      </c>
      <c r="B1552" s="1"/>
      <c r="C1552" s="2"/>
      <c r="D1552" s="1"/>
      <c r="E1552" s="3"/>
      <c r="F1552" s="3"/>
      <c r="G1552" s="9">
        <f t="shared" si="32"/>
        <v>-7173436</v>
      </c>
      <c r="H1552" s="27"/>
      <c r="I1552" s="26"/>
    </row>
    <row r="1553" spans="1:9" s="28" customFormat="1" x14ac:dyDescent="0.2">
      <c r="A1553" s="11" t="s">
        <v>2</v>
      </c>
      <c r="B1553" s="5" t="s">
        <v>1</v>
      </c>
      <c r="C1553" s="5" t="s">
        <v>3</v>
      </c>
      <c r="D1553" s="5"/>
      <c r="E1553" s="7" t="s">
        <v>4</v>
      </c>
      <c r="F1553" s="7" t="s">
        <v>6</v>
      </c>
      <c r="G1553" s="8" t="s">
        <v>5</v>
      </c>
      <c r="H1553" s="27"/>
      <c r="I1553" s="26"/>
    </row>
    <row r="1554" spans="1:9" x14ac:dyDescent="0.2">
      <c r="A1554" s="12">
        <v>45110</v>
      </c>
      <c r="C1554" s="2" t="s">
        <v>35</v>
      </c>
      <c r="D1554" s="1" t="s">
        <v>9</v>
      </c>
      <c r="F1554" s="3">
        <v>6600</v>
      </c>
      <c r="G1554" s="9">
        <f>G1551+E1554-F1554</f>
        <v>-7180036</v>
      </c>
    </row>
    <row r="1555" spans="1:9" x14ac:dyDescent="0.2">
      <c r="A1555" s="12">
        <v>45111</v>
      </c>
      <c r="C1555" s="2" t="s">
        <v>377</v>
      </c>
      <c r="D1555" s="1" t="s">
        <v>9</v>
      </c>
      <c r="E1555" s="3">
        <v>1200000</v>
      </c>
      <c r="G1555" s="9">
        <f t="shared" si="32"/>
        <v>-5980036</v>
      </c>
    </row>
    <row r="1556" spans="1:9" x14ac:dyDescent="0.2">
      <c r="A1556" s="12">
        <v>45111</v>
      </c>
      <c r="C1556" s="22" t="s">
        <v>1040</v>
      </c>
      <c r="D1556" s="1" t="s">
        <v>9</v>
      </c>
      <c r="E1556" s="3">
        <f>91863+384291</f>
        <v>476154</v>
      </c>
      <c r="G1556" s="9">
        <f t="shared" si="32"/>
        <v>-5503882</v>
      </c>
    </row>
    <row r="1557" spans="1:9" x14ac:dyDescent="0.2">
      <c r="A1557" s="12">
        <v>45111</v>
      </c>
      <c r="C1557" s="2" t="s">
        <v>53</v>
      </c>
      <c r="D1557" s="1" t="s">
        <v>9</v>
      </c>
      <c r="F1557" s="3">
        <v>100</v>
      </c>
      <c r="G1557" s="9">
        <f t="shared" si="32"/>
        <v>-5503982</v>
      </c>
    </row>
    <row r="1558" spans="1:9" x14ac:dyDescent="0.2">
      <c r="A1558" s="12">
        <v>45111</v>
      </c>
      <c r="C1558" s="2" t="s">
        <v>1041</v>
      </c>
      <c r="D1558" s="1" t="s">
        <v>9</v>
      </c>
      <c r="E1558" s="3">
        <v>109846</v>
      </c>
      <c r="G1558" s="9">
        <f t="shared" si="32"/>
        <v>-5394136</v>
      </c>
    </row>
    <row r="1559" spans="1:9" x14ac:dyDescent="0.2">
      <c r="A1559" s="12">
        <v>45112</v>
      </c>
      <c r="C1559" s="22" t="s">
        <v>1042</v>
      </c>
      <c r="D1559" s="1" t="s">
        <v>9</v>
      </c>
      <c r="E1559" s="3">
        <f>61950+381789+30128+243552+76086</f>
        <v>793505</v>
      </c>
      <c r="G1559" s="9">
        <f t="shared" si="32"/>
        <v>-4600631</v>
      </c>
    </row>
    <row r="1560" spans="1:9" s="28" customFormat="1" x14ac:dyDescent="0.2">
      <c r="A1560" s="20">
        <v>45112</v>
      </c>
      <c r="B1560" s="21" t="s">
        <v>1045</v>
      </c>
      <c r="C1560" s="22" t="s">
        <v>1049</v>
      </c>
      <c r="D1560" s="21" t="s">
        <v>9</v>
      </c>
      <c r="E1560" s="23"/>
      <c r="F1560" s="23">
        <v>240000</v>
      </c>
      <c r="G1560" s="26">
        <f t="shared" si="32"/>
        <v>-4840631</v>
      </c>
      <c r="H1560" s="27"/>
      <c r="I1560" s="26"/>
    </row>
    <row r="1561" spans="1:9" s="28" customFormat="1" x14ac:dyDescent="0.2">
      <c r="A1561" s="20">
        <v>45112</v>
      </c>
      <c r="B1561" s="21" t="s">
        <v>1044</v>
      </c>
      <c r="C1561" s="22" t="s">
        <v>1050</v>
      </c>
      <c r="D1561" s="21" t="s">
        <v>9</v>
      </c>
      <c r="E1561" s="23"/>
      <c r="F1561" s="23">
        <v>90000</v>
      </c>
      <c r="G1561" s="26">
        <f t="shared" si="32"/>
        <v>-4930631</v>
      </c>
      <c r="H1561" s="27"/>
      <c r="I1561" s="26"/>
    </row>
    <row r="1562" spans="1:9" x14ac:dyDescent="0.2">
      <c r="A1562" s="12">
        <v>45112</v>
      </c>
      <c r="C1562" s="2" t="s">
        <v>258</v>
      </c>
      <c r="D1562" s="1" t="s">
        <v>9</v>
      </c>
      <c r="E1562" s="3">
        <v>102000</v>
      </c>
      <c r="G1562" s="9">
        <f t="shared" si="32"/>
        <v>-4828631</v>
      </c>
    </row>
    <row r="1563" spans="1:9" x14ac:dyDescent="0.2">
      <c r="A1563" s="12">
        <v>45112</v>
      </c>
      <c r="C1563" s="2" t="s">
        <v>1046</v>
      </c>
      <c r="D1563" s="1" t="s">
        <v>9</v>
      </c>
      <c r="E1563" s="3">
        <v>196739</v>
      </c>
      <c r="G1563" s="9">
        <f t="shared" si="32"/>
        <v>-4631892</v>
      </c>
    </row>
    <row r="1564" spans="1:9" x14ac:dyDescent="0.2">
      <c r="A1564" s="12">
        <v>45113</v>
      </c>
      <c r="C1564" s="2" t="s">
        <v>1043</v>
      </c>
      <c r="D1564" s="1" t="s">
        <v>9</v>
      </c>
      <c r="E1564" s="3">
        <v>0</v>
      </c>
      <c r="F1564" s="3">
        <f>9601466+214928</f>
        <v>9816394</v>
      </c>
      <c r="G1564" s="9">
        <f t="shared" si="32"/>
        <v>-14448286</v>
      </c>
    </row>
    <row r="1565" spans="1:9" x14ac:dyDescent="0.2">
      <c r="A1565" s="12">
        <v>45113</v>
      </c>
      <c r="C1565" s="2" t="s">
        <v>1047</v>
      </c>
      <c r="D1565" s="1" t="s">
        <v>9</v>
      </c>
      <c r="F1565" s="3">
        <f>4012952</f>
        <v>4012952</v>
      </c>
      <c r="G1565" s="9">
        <f t="shared" si="32"/>
        <v>-18461238</v>
      </c>
    </row>
    <row r="1566" spans="1:9" x14ac:dyDescent="0.2">
      <c r="A1566" s="12">
        <v>45113</v>
      </c>
      <c r="C1566" s="2" t="s">
        <v>34</v>
      </c>
      <c r="D1566" s="1" t="s">
        <v>9</v>
      </c>
      <c r="F1566" s="3">
        <v>413</v>
      </c>
      <c r="G1566" s="9">
        <f t="shared" si="32"/>
        <v>-18461651</v>
      </c>
    </row>
    <row r="1567" spans="1:9" x14ac:dyDescent="0.2">
      <c r="A1567" s="12">
        <v>45114</v>
      </c>
      <c r="C1567" s="22" t="s">
        <v>1048</v>
      </c>
      <c r="D1567" s="1" t="s">
        <v>9</v>
      </c>
      <c r="E1567" s="3">
        <f>1104379+187283+681539</f>
        <v>1973201</v>
      </c>
      <c r="G1567" s="9">
        <f t="shared" si="32"/>
        <v>-16488450</v>
      </c>
    </row>
    <row r="1568" spans="1:9" x14ac:dyDescent="0.2">
      <c r="A1568" s="12">
        <v>45117</v>
      </c>
      <c r="C1568" s="22" t="s">
        <v>1051</v>
      </c>
      <c r="D1568" s="1" t="s">
        <v>9</v>
      </c>
      <c r="E1568" s="3">
        <f>2930204+2505871</f>
        <v>5436075</v>
      </c>
      <c r="G1568" s="9">
        <f t="shared" si="32"/>
        <v>-11052375</v>
      </c>
    </row>
    <row r="1569" spans="1:9" x14ac:dyDescent="0.2">
      <c r="A1569" s="12">
        <v>45117</v>
      </c>
      <c r="B1569" s="21" t="s">
        <v>1052</v>
      </c>
      <c r="C1569" s="2" t="s">
        <v>154</v>
      </c>
      <c r="D1569" s="25" t="s">
        <v>9</v>
      </c>
      <c r="F1569" s="3">
        <v>295485</v>
      </c>
      <c r="G1569" s="9">
        <f t="shared" si="32"/>
        <v>-11347860</v>
      </c>
    </row>
    <row r="1570" spans="1:9" x14ac:dyDescent="0.2">
      <c r="A1570" s="12">
        <v>45117</v>
      </c>
      <c r="C1570" s="2" t="s">
        <v>18</v>
      </c>
      <c r="D1570" s="1" t="s">
        <v>9</v>
      </c>
      <c r="E1570" s="3">
        <v>41500</v>
      </c>
      <c r="G1570" s="9">
        <f t="shared" si="32"/>
        <v>-11306360</v>
      </c>
    </row>
    <row r="1571" spans="1:9" x14ac:dyDescent="0.2">
      <c r="A1571" s="12">
        <v>45117</v>
      </c>
      <c r="C1571" s="2" t="s">
        <v>1028</v>
      </c>
      <c r="D1571" s="1" t="s">
        <v>9</v>
      </c>
      <c r="E1571" s="3">
        <v>67201</v>
      </c>
      <c r="G1571" s="9">
        <f t="shared" si="32"/>
        <v>-11239159</v>
      </c>
    </row>
    <row r="1572" spans="1:9" x14ac:dyDescent="0.2">
      <c r="A1572" s="12">
        <v>45118</v>
      </c>
      <c r="C1572" s="2" t="s">
        <v>1053</v>
      </c>
      <c r="D1572" s="1" t="s">
        <v>9</v>
      </c>
      <c r="E1572" s="3">
        <v>528651</v>
      </c>
      <c r="G1572" s="9">
        <f t="shared" si="32"/>
        <v>-10710508</v>
      </c>
    </row>
    <row r="1573" spans="1:9" x14ac:dyDescent="0.2">
      <c r="A1573" s="12">
        <v>45118</v>
      </c>
      <c r="C1573" s="2" t="s">
        <v>1054</v>
      </c>
      <c r="D1573" s="1" t="s">
        <v>9</v>
      </c>
      <c r="E1573" s="3">
        <v>233900</v>
      </c>
      <c r="G1573" s="9">
        <f t="shared" si="32"/>
        <v>-10476608</v>
      </c>
      <c r="I1573" s="24">
        <v>-10119940</v>
      </c>
    </row>
    <row r="1574" spans="1:9" x14ac:dyDescent="0.2">
      <c r="A1574" s="12">
        <v>45119</v>
      </c>
      <c r="C1574" s="2" t="s">
        <v>351</v>
      </c>
      <c r="D1574" s="1" t="s">
        <v>9</v>
      </c>
      <c r="E1574" s="3">
        <v>61183</v>
      </c>
      <c r="G1574" s="9">
        <f t="shared" si="32"/>
        <v>-10415425</v>
      </c>
      <c r="I1574" s="9">
        <f>I1573-F1569</f>
        <v>-10415425</v>
      </c>
    </row>
    <row r="1575" spans="1:9" x14ac:dyDescent="0.2">
      <c r="A1575" s="12">
        <v>45119</v>
      </c>
      <c r="C1575" s="22" t="s">
        <v>1055</v>
      </c>
      <c r="D1575" s="1" t="s">
        <v>9</v>
      </c>
      <c r="E1575" s="3">
        <f>838011+154651+9729</f>
        <v>1002391</v>
      </c>
      <c r="G1575" s="9">
        <f t="shared" si="32"/>
        <v>-9413034</v>
      </c>
      <c r="I1575" s="9">
        <f>G1574-I1574</f>
        <v>0</v>
      </c>
    </row>
    <row r="1576" spans="1:9" x14ac:dyDescent="0.2">
      <c r="A1576" s="12">
        <v>45120</v>
      </c>
      <c r="C1576" s="2" t="s">
        <v>1056</v>
      </c>
      <c r="D1576" s="1" t="s">
        <v>9</v>
      </c>
      <c r="F1576" s="3">
        <v>2505871</v>
      </c>
      <c r="G1576" s="9">
        <f t="shared" si="32"/>
        <v>-11918905</v>
      </c>
    </row>
    <row r="1577" spans="1:9" x14ac:dyDescent="0.2">
      <c r="A1577" s="12">
        <v>45120</v>
      </c>
      <c r="C1577" s="2" t="s">
        <v>588</v>
      </c>
      <c r="D1577" s="1" t="s">
        <v>9</v>
      </c>
      <c r="F1577" s="3">
        <v>6600</v>
      </c>
      <c r="G1577" s="9">
        <f t="shared" ref="G1577:G1578" si="33">G1576+E1577-F1577</f>
        <v>-11925505</v>
      </c>
    </row>
    <row r="1578" spans="1:9" x14ac:dyDescent="0.2">
      <c r="A1578" s="12">
        <v>45121</v>
      </c>
      <c r="C1578" s="2" t="s">
        <v>1057</v>
      </c>
      <c r="D1578" s="25" t="s">
        <v>9</v>
      </c>
      <c r="E1578" s="3">
        <f>559541+93881+1526721+141250+300000</f>
        <v>2621393</v>
      </c>
      <c r="G1578" s="9">
        <f t="shared" si="33"/>
        <v>-9304112</v>
      </c>
    </row>
    <row r="1579" spans="1:9" x14ac:dyDescent="0.2">
      <c r="A1579" s="12">
        <v>45124</v>
      </c>
      <c r="C1579" s="18" t="s">
        <v>1060</v>
      </c>
      <c r="D1579" s="25" t="s">
        <v>9</v>
      </c>
      <c r="E1579" s="3">
        <v>2531071</v>
      </c>
      <c r="G1579" s="9">
        <f t="shared" ref="G1579:G1644" si="34">G1578+E1579-F1579</f>
        <v>-6773041</v>
      </c>
    </row>
    <row r="1580" spans="1:9" x14ac:dyDescent="0.2">
      <c r="A1580" s="12">
        <v>45125</v>
      </c>
      <c r="C1580" s="2" t="s">
        <v>711</v>
      </c>
      <c r="D1580" s="1" t="s">
        <v>9</v>
      </c>
      <c r="F1580" s="3">
        <v>23551</v>
      </c>
      <c r="G1580" s="9">
        <f t="shared" si="34"/>
        <v>-6796592</v>
      </c>
    </row>
    <row r="1581" spans="1:9" x14ac:dyDescent="0.2">
      <c r="A1581" s="12">
        <v>45125</v>
      </c>
      <c r="C1581" s="2" t="s">
        <v>897</v>
      </c>
      <c r="D1581" s="1" t="s">
        <v>9</v>
      </c>
      <c r="F1581" s="3">
        <v>2179003</v>
      </c>
      <c r="G1581" s="9">
        <f t="shared" si="34"/>
        <v>-8975595</v>
      </c>
    </row>
    <row r="1582" spans="1:9" x14ac:dyDescent="0.2">
      <c r="A1582" s="12">
        <v>45125</v>
      </c>
      <c r="C1582" s="2" t="s">
        <v>1058</v>
      </c>
      <c r="D1582" s="1" t="s">
        <v>9</v>
      </c>
      <c r="F1582" s="3">
        <v>5000</v>
      </c>
      <c r="G1582" s="9">
        <f t="shared" si="34"/>
        <v>-8980595</v>
      </c>
    </row>
    <row r="1583" spans="1:9" x14ac:dyDescent="0.2">
      <c r="A1583" s="12">
        <v>45125</v>
      </c>
      <c r="C1583" s="2" t="s">
        <v>1058</v>
      </c>
      <c r="D1583" s="1" t="s">
        <v>9</v>
      </c>
      <c r="F1583" s="3">
        <v>5000</v>
      </c>
      <c r="G1583" s="9">
        <f t="shared" si="34"/>
        <v>-8985595</v>
      </c>
    </row>
    <row r="1584" spans="1:9" x14ac:dyDescent="0.2">
      <c r="A1584" s="12">
        <v>45125</v>
      </c>
      <c r="C1584" s="18" t="s">
        <v>1059</v>
      </c>
      <c r="D1584" s="25" t="s">
        <v>9</v>
      </c>
      <c r="E1584" s="3">
        <v>149600</v>
      </c>
      <c r="G1584" s="9">
        <f t="shared" si="34"/>
        <v>-8835995</v>
      </c>
    </row>
    <row r="1585" spans="1:9" x14ac:dyDescent="0.2">
      <c r="A1585" s="12">
        <v>45125</v>
      </c>
      <c r="C1585" s="2" t="s">
        <v>1061</v>
      </c>
      <c r="D1585" s="1" t="s">
        <v>9</v>
      </c>
      <c r="F1585" s="3">
        <f>2034004</f>
        <v>2034004</v>
      </c>
      <c r="G1585" s="9">
        <f t="shared" si="34"/>
        <v>-10869999</v>
      </c>
    </row>
    <row r="1586" spans="1:9" x14ac:dyDescent="0.2">
      <c r="A1586" s="12">
        <v>45126</v>
      </c>
      <c r="C1586" s="2" t="s">
        <v>1063</v>
      </c>
      <c r="D1586" s="1" t="s">
        <v>9</v>
      </c>
      <c r="E1586" s="3">
        <v>2505871</v>
      </c>
      <c r="G1586" s="9">
        <f t="shared" si="34"/>
        <v>-8364128</v>
      </c>
    </row>
    <row r="1587" spans="1:9" s="28" customFormat="1" x14ac:dyDescent="0.2">
      <c r="A1587" s="20">
        <v>45126</v>
      </c>
      <c r="B1587" s="21"/>
      <c r="C1587" s="22" t="s">
        <v>1065</v>
      </c>
      <c r="D1587" s="21" t="s">
        <v>9</v>
      </c>
      <c r="E1587" s="23">
        <f>195312+457861+14632+20324+312762</f>
        <v>1000891</v>
      </c>
      <c r="F1587" s="23"/>
      <c r="G1587" s="9">
        <f t="shared" si="34"/>
        <v>-7363237</v>
      </c>
      <c r="H1587" s="27"/>
      <c r="I1587" s="26"/>
    </row>
    <row r="1588" spans="1:9" s="28" customFormat="1" x14ac:dyDescent="0.2">
      <c r="A1588" s="20">
        <v>45127</v>
      </c>
      <c r="B1588" s="21" t="s">
        <v>1062</v>
      </c>
      <c r="C1588" s="22" t="s">
        <v>430</v>
      </c>
      <c r="D1588" s="21" t="s">
        <v>9</v>
      </c>
      <c r="E1588" s="23"/>
      <c r="F1588" s="23">
        <v>2040016</v>
      </c>
      <c r="G1588" s="9">
        <f t="shared" si="34"/>
        <v>-9403253</v>
      </c>
      <c r="H1588" s="27"/>
      <c r="I1588" s="26"/>
    </row>
    <row r="1589" spans="1:9" s="28" customFormat="1" x14ac:dyDescent="0.2">
      <c r="A1589" s="20">
        <v>45127</v>
      </c>
      <c r="B1589" s="21" t="s">
        <v>1066</v>
      </c>
      <c r="C1589" s="2" t="s">
        <v>724</v>
      </c>
      <c r="D1589" s="21" t="s">
        <v>9</v>
      </c>
      <c r="E1589" s="23"/>
      <c r="F1589" s="23">
        <v>600000</v>
      </c>
      <c r="G1589" s="9">
        <f t="shared" si="34"/>
        <v>-10003253</v>
      </c>
      <c r="H1589" s="27"/>
      <c r="I1589" s="26"/>
    </row>
    <row r="1590" spans="1:9" x14ac:dyDescent="0.2">
      <c r="A1590" s="12">
        <v>45127</v>
      </c>
      <c r="C1590" s="2" t="s">
        <v>1067</v>
      </c>
      <c r="D1590" s="1" t="s">
        <v>9</v>
      </c>
      <c r="F1590" s="3">
        <v>5500</v>
      </c>
      <c r="G1590" s="9">
        <f t="shared" si="34"/>
        <v>-10008753</v>
      </c>
    </row>
    <row r="1591" spans="1:9" x14ac:dyDescent="0.2">
      <c r="A1591" s="12">
        <v>45127</v>
      </c>
      <c r="C1591" s="2" t="s">
        <v>1068</v>
      </c>
      <c r="D1591" s="1" t="s">
        <v>9</v>
      </c>
      <c r="F1591" s="3">
        <v>5500</v>
      </c>
      <c r="G1591" s="9">
        <f t="shared" si="34"/>
        <v>-10014253</v>
      </c>
    </row>
    <row r="1592" spans="1:9" x14ac:dyDescent="0.2">
      <c r="A1592" s="12">
        <v>45127</v>
      </c>
      <c r="C1592" s="2" t="s">
        <v>1069</v>
      </c>
      <c r="D1592" s="1" t="s">
        <v>9</v>
      </c>
      <c r="F1592" s="3">
        <v>5500</v>
      </c>
      <c r="G1592" s="9">
        <f t="shared" si="34"/>
        <v>-10019753</v>
      </c>
    </row>
    <row r="1593" spans="1:9" x14ac:dyDescent="0.2">
      <c r="A1593" s="12">
        <v>45128</v>
      </c>
      <c r="C1593" s="2" t="s">
        <v>1064</v>
      </c>
      <c r="D1593" s="1" t="s">
        <v>9</v>
      </c>
      <c r="F1593" s="3">
        <f>7742247+178213</f>
        <v>7920460</v>
      </c>
      <c r="G1593" s="9">
        <f t="shared" si="34"/>
        <v>-17940213</v>
      </c>
    </row>
    <row r="1594" spans="1:9" x14ac:dyDescent="0.2">
      <c r="A1594" s="12">
        <v>45128</v>
      </c>
      <c r="C1594" s="2" t="s">
        <v>555</v>
      </c>
      <c r="D1594" s="1" t="s">
        <v>9</v>
      </c>
      <c r="E1594" s="3">
        <v>469852</v>
      </c>
      <c r="G1594" s="9">
        <f t="shared" si="34"/>
        <v>-17470361</v>
      </c>
    </row>
    <row r="1595" spans="1:9" x14ac:dyDescent="0.2">
      <c r="A1595" s="12">
        <v>45131</v>
      </c>
      <c r="C1595" s="22" t="s">
        <v>1070</v>
      </c>
      <c r="D1595" s="1" t="s">
        <v>9</v>
      </c>
      <c r="E1595" s="3">
        <f>1565382+335408+1251273</f>
        <v>3152063</v>
      </c>
      <c r="G1595" s="9">
        <f t="shared" si="34"/>
        <v>-14318298</v>
      </c>
    </row>
    <row r="1596" spans="1:9" x14ac:dyDescent="0.2">
      <c r="A1596" s="12">
        <v>45131</v>
      </c>
      <c r="C1596" s="2" t="s">
        <v>27</v>
      </c>
      <c r="D1596" s="1" t="s">
        <v>9</v>
      </c>
      <c r="F1596" s="3">
        <v>150000</v>
      </c>
      <c r="G1596" s="9">
        <f t="shared" si="34"/>
        <v>-14468298</v>
      </c>
    </row>
    <row r="1597" spans="1:9" x14ac:dyDescent="0.2">
      <c r="A1597" s="12">
        <v>45131</v>
      </c>
      <c r="C1597" s="2" t="s">
        <v>1071</v>
      </c>
      <c r="D1597" s="1" t="s">
        <v>9</v>
      </c>
      <c r="E1597" s="3">
        <v>26078</v>
      </c>
      <c r="G1597" s="9">
        <f t="shared" si="34"/>
        <v>-14442220</v>
      </c>
    </row>
    <row r="1598" spans="1:9" x14ac:dyDescent="0.2">
      <c r="A1598" s="12">
        <v>45131</v>
      </c>
      <c r="C1598" s="2" t="s">
        <v>943</v>
      </c>
      <c r="D1598" s="1" t="s">
        <v>9</v>
      </c>
      <c r="E1598" s="3">
        <v>2000000</v>
      </c>
      <c r="G1598" s="9">
        <f t="shared" si="34"/>
        <v>-12442220</v>
      </c>
    </row>
    <row r="1599" spans="1:9" x14ac:dyDescent="0.2">
      <c r="A1599" s="12">
        <v>45132</v>
      </c>
      <c r="C1599" s="22" t="s">
        <v>1072</v>
      </c>
      <c r="D1599" s="1" t="s">
        <v>9</v>
      </c>
      <c r="E1599" s="3">
        <f>1966970+130390+1861568</f>
        <v>3958928</v>
      </c>
      <c r="G1599" s="9">
        <f t="shared" si="34"/>
        <v>-8483292</v>
      </c>
    </row>
    <row r="1600" spans="1:9" x14ac:dyDescent="0.2">
      <c r="A1600" s="12">
        <v>45132</v>
      </c>
      <c r="C1600" s="2" t="s">
        <v>35</v>
      </c>
      <c r="D1600" s="1" t="s">
        <v>9</v>
      </c>
      <c r="F1600" s="3">
        <v>6600</v>
      </c>
      <c r="G1600" s="9">
        <f t="shared" si="34"/>
        <v>-8489892</v>
      </c>
    </row>
    <row r="1601" spans="1:9" x14ac:dyDescent="0.2">
      <c r="A1601" s="12">
        <v>45132</v>
      </c>
      <c r="C1601" s="2" t="s">
        <v>61</v>
      </c>
      <c r="D1601" s="1" t="s">
        <v>9</v>
      </c>
      <c r="E1601" s="3">
        <v>4111029</v>
      </c>
      <c r="G1601" s="9">
        <f t="shared" si="34"/>
        <v>-4378863</v>
      </c>
    </row>
    <row r="1602" spans="1:9" x14ac:dyDescent="0.2">
      <c r="A1602" s="12">
        <v>45133</v>
      </c>
      <c r="C1602" s="22" t="s">
        <v>1073</v>
      </c>
      <c r="D1602" s="1" t="s">
        <v>9</v>
      </c>
      <c r="E1602" s="3">
        <f>343145+101725+202000+949426</f>
        <v>1596296</v>
      </c>
      <c r="G1602" s="9">
        <f t="shared" si="34"/>
        <v>-2782567</v>
      </c>
    </row>
    <row r="1603" spans="1:9" x14ac:dyDescent="0.2">
      <c r="A1603" s="12">
        <v>45133</v>
      </c>
      <c r="C1603" s="2" t="s">
        <v>258</v>
      </c>
      <c r="D1603" s="1" t="s">
        <v>9</v>
      </c>
      <c r="E1603" s="3">
        <v>153000</v>
      </c>
      <c r="G1603" s="9">
        <f t="shared" si="34"/>
        <v>-2629567</v>
      </c>
    </row>
    <row r="1604" spans="1:9" x14ac:dyDescent="0.2">
      <c r="A1604" s="12">
        <v>45135</v>
      </c>
      <c r="C1604" s="2" t="s">
        <v>1074</v>
      </c>
      <c r="D1604" s="1" t="s">
        <v>9</v>
      </c>
      <c r="F1604" s="3">
        <f>789739+275</f>
        <v>790014</v>
      </c>
      <c r="G1604" s="9">
        <f t="shared" si="34"/>
        <v>-3419581</v>
      </c>
    </row>
    <row r="1605" spans="1:9" x14ac:dyDescent="0.2">
      <c r="A1605" s="12">
        <v>45135</v>
      </c>
      <c r="C1605" s="2" t="s">
        <v>1075</v>
      </c>
      <c r="D1605" s="1" t="s">
        <v>9</v>
      </c>
      <c r="F1605" s="3">
        <f>397440+275</f>
        <v>397715</v>
      </c>
      <c r="G1605" s="9">
        <f t="shared" si="34"/>
        <v>-3817296</v>
      </c>
    </row>
    <row r="1606" spans="1:9" x14ac:dyDescent="0.2">
      <c r="A1606" s="12">
        <v>45135</v>
      </c>
      <c r="C1606" s="2" t="s">
        <v>1076</v>
      </c>
      <c r="D1606" s="1" t="s">
        <v>9</v>
      </c>
      <c r="F1606" s="3">
        <f>500000</f>
        <v>500000</v>
      </c>
      <c r="G1606" s="9">
        <f t="shared" si="34"/>
        <v>-4317296</v>
      </c>
    </row>
    <row r="1607" spans="1:9" x14ac:dyDescent="0.2">
      <c r="A1607" s="12">
        <v>45135</v>
      </c>
      <c r="C1607" s="2" t="s">
        <v>1077</v>
      </c>
      <c r="D1607" s="1" t="s">
        <v>9</v>
      </c>
      <c r="F1607" s="3">
        <f>420000+275</f>
        <v>420275</v>
      </c>
      <c r="G1607" s="9">
        <f t="shared" si="34"/>
        <v>-4737571</v>
      </c>
    </row>
    <row r="1608" spans="1:9" x14ac:dyDescent="0.2">
      <c r="A1608" s="12">
        <v>45138</v>
      </c>
      <c r="C1608" s="2" t="s">
        <v>1078</v>
      </c>
      <c r="D1608" s="1" t="s">
        <v>9</v>
      </c>
      <c r="F1608" s="3">
        <v>173316</v>
      </c>
      <c r="G1608" s="24">
        <f t="shared" si="34"/>
        <v>-4910887</v>
      </c>
    </row>
    <row r="1609" spans="1:9" x14ac:dyDescent="0.2">
      <c r="A1609" s="12">
        <v>45141</v>
      </c>
      <c r="C1609" s="18" t="s">
        <v>1059</v>
      </c>
      <c r="D1609" s="1" t="s">
        <v>9</v>
      </c>
      <c r="E1609" s="3">
        <v>72888</v>
      </c>
      <c r="G1609" s="9">
        <f t="shared" si="34"/>
        <v>-4837999</v>
      </c>
    </row>
    <row r="1610" spans="1:9" x14ac:dyDescent="0.2">
      <c r="A1610" s="20">
        <v>45138</v>
      </c>
      <c r="B1610" s="21"/>
      <c r="C1610" s="31" t="s">
        <v>1081</v>
      </c>
      <c r="D1610" s="21" t="s">
        <v>9</v>
      </c>
      <c r="E1610" s="23">
        <f>866091+304723+351557+114767+14042+103038</f>
        <v>1754218</v>
      </c>
      <c r="F1610" s="23"/>
      <c r="G1610" s="9">
        <f t="shared" si="34"/>
        <v>-3083781</v>
      </c>
    </row>
    <row r="1611" spans="1:9" s="28" customFormat="1" ht="15.75" x14ac:dyDescent="0.25">
      <c r="A1611" s="10" t="s">
        <v>1096</v>
      </c>
      <c r="B1611" s="1"/>
      <c r="C1611" s="2"/>
      <c r="D1611" s="1"/>
      <c r="E1611" s="3"/>
      <c r="F1611" s="3"/>
      <c r="G1611" s="9">
        <f t="shared" si="34"/>
        <v>-3083781</v>
      </c>
      <c r="H1611" s="27"/>
      <c r="I1611" s="26"/>
    </row>
    <row r="1612" spans="1:9" s="28" customFormat="1" x14ac:dyDescent="0.2">
      <c r="A1612" s="11" t="s">
        <v>2</v>
      </c>
      <c r="B1612" s="5" t="s">
        <v>1</v>
      </c>
      <c r="C1612" s="5" t="s">
        <v>3</v>
      </c>
      <c r="D1612" s="5"/>
      <c r="E1612" s="7" t="s">
        <v>4</v>
      </c>
      <c r="F1612" s="7" t="s">
        <v>6</v>
      </c>
      <c r="G1612" s="8" t="s">
        <v>5</v>
      </c>
      <c r="H1612" s="27"/>
      <c r="I1612" s="26"/>
    </row>
    <row r="1613" spans="1:9" x14ac:dyDescent="0.2">
      <c r="A1613" s="12">
        <v>45139</v>
      </c>
      <c r="C1613" s="2" t="s">
        <v>1054</v>
      </c>
      <c r="D1613" s="1" t="s">
        <v>9</v>
      </c>
      <c r="E1613" s="3">
        <v>141423</v>
      </c>
      <c r="G1613" s="9">
        <f>G1610+E1613-F1613</f>
        <v>-2942358</v>
      </c>
    </row>
    <row r="1614" spans="1:9" x14ac:dyDescent="0.2">
      <c r="A1614" s="12">
        <v>45140</v>
      </c>
      <c r="C1614" s="18" t="s">
        <v>1079</v>
      </c>
      <c r="D1614" s="1" t="s">
        <v>9</v>
      </c>
      <c r="F1614" s="3">
        <f>3918918</f>
        <v>3918918</v>
      </c>
      <c r="G1614" s="9">
        <f t="shared" si="34"/>
        <v>-6861276</v>
      </c>
    </row>
    <row r="1615" spans="1:9" x14ac:dyDescent="0.2">
      <c r="A1615" s="12">
        <v>45140</v>
      </c>
      <c r="C1615" s="18" t="s">
        <v>1080</v>
      </c>
      <c r="D1615" s="1" t="s">
        <v>9</v>
      </c>
      <c r="F1615" s="3">
        <v>3034796</v>
      </c>
      <c r="G1615" s="9">
        <f t="shared" si="34"/>
        <v>-9896072</v>
      </c>
    </row>
    <row r="1616" spans="1:9" x14ac:dyDescent="0.2">
      <c r="A1616" s="12">
        <v>45140</v>
      </c>
      <c r="C1616" s="2" t="s">
        <v>34</v>
      </c>
      <c r="D1616" s="1" t="s">
        <v>9</v>
      </c>
      <c r="F1616" s="3">
        <v>275</v>
      </c>
      <c r="G1616" s="9">
        <f t="shared" si="34"/>
        <v>-9896347</v>
      </c>
    </row>
    <row r="1617" spans="1:7" x14ac:dyDescent="0.2">
      <c r="A1617" s="12">
        <v>45140</v>
      </c>
      <c r="C1617" s="2" t="s">
        <v>1082</v>
      </c>
      <c r="D1617" s="1" t="s">
        <v>9</v>
      </c>
      <c r="E1617" s="3">
        <v>1487844</v>
      </c>
      <c r="G1617" s="9">
        <f t="shared" si="34"/>
        <v>-8408503</v>
      </c>
    </row>
    <row r="1618" spans="1:7" x14ac:dyDescent="0.2">
      <c r="A1618" s="12">
        <v>45141</v>
      </c>
      <c r="C1618" s="2" t="s">
        <v>1083</v>
      </c>
      <c r="D1618" s="1" t="s">
        <v>9</v>
      </c>
      <c r="E1618" s="3">
        <f>2050250+49088+14125</f>
        <v>2113463</v>
      </c>
      <c r="G1618" s="9">
        <f t="shared" si="34"/>
        <v>-6295040</v>
      </c>
    </row>
    <row r="1619" spans="1:7" x14ac:dyDescent="0.2">
      <c r="A1619" s="12">
        <v>45141</v>
      </c>
      <c r="C1619" s="2" t="s">
        <v>906</v>
      </c>
      <c r="D1619" s="1" t="s">
        <v>9</v>
      </c>
      <c r="E1619" s="3">
        <v>100908</v>
      </c>
      <c r="G1619" s="9">
        <f t="shared" si="34"/>
        <v>-6194132</v>
      </c>
    </row>
    <row r="1620" spans="1:7" x14ac:dyDescent="0.2">
      <c r="A1620" s="12">
        <v>45141</v>
      </c>
      <c r="C1620" s="2" t="s">
        <v>165</v>
      </c>
      <c r="D1620" s="1" t="s">
        <v>9</v>
      </c>
      <c r="E1620" s="3">
        <v>252416</v>
      </c>
      <c r="G1620" s="9">
        <f t="shared" si="34"/>
        <v>-5941716</v>
      </c>
    </row>
    <row r="1621" spans="1:7" x14ac:dyDescent="0.2">
      <c r="A1621" s="20">
        <v>45142</v>
      </c>
      <c r="B1621" s="21"/>
      <c r="C1621" s="22" t="s">
        <v>74</v>
      </c>
      <c r="D1621" s="21" t="s">
        <v>9</v>
      </c>
      <c r="E1621" s="23">
        <v>351557</v>
      </c>
      <c r="F1621" s="23"/>
      <c r="G1621" s="9">
        <f t="shared" si="34"/>
        <v>-5590159</v>
      </c>
    </row>
    <row r="1622" spans="1:7" x14ac:dyDescent="0.2">
      <c r="A1622" s="20">
        <v>45142</v>
      </c>
      <c r="B1622" s="21"/>
      <c r="C1622" s="22" t="s">
        <v>1116</v>
      </c>
      <c r="D1622" s="21" t="s">
        <v>9</v>
      </c>
      <c r="E1622" s="23"/>
      <c r="F1622" s="23">
        <v>351557</v>
      </c>
      <c r="G1622" s="9">
        <f t="shared" si="34"/>
        <v>-5941716</v>
      </c>
    </row>
    <row r="1623" spans="1:7" x14ac:dyDescent="0.2">
      <c r="A1623" s="12">
        <v>45143</v>
      </c>
      <c r="C1623" s="2" t="s">
        <v>1084</v>
      </c>
      <c r="D1623" s="1" t="s">
        <v>9</v>
      </c>
      <c r="E1623" s="3">
        <v>1892801</v>
      </c>
      <c r="G1623" s="9">
        <f t="shared" si="34"/>
        <v>-4048915</v>
      </c>
    </row>
    <row r="1624" spans="1:7" x14ac:dyDescent="0.2">
      <c r="A1624" s="12">
        <v>45146</v>
      </c>
      <c r="C1624" s="2" t="s">
        <v>35</v>
      </c>
      <c r="D1624" s="1" t="s">
        <v>9</v>
      </c>
      <c r="F1624" s="3">
        <v>6600</v>
      </c>
      <c r="G1624" s="9">
        <f t="shared" si="34"/>
        <v>-4055515</v>
      </c>
    </row>
    <row r="1625" spans="1:7" x14ac:dyDescent="0.2">
      <c r="A1625" s="20">
        <v>45146</v>
      </c>
      <c r="B1625" s="21"/>
      <c r="C1625" s="22" t="s">
        <v>1109</v>
      </c>
      <c r="D1625" s="21" t="s">
        <v>9</v>
      </c>
      <c r="E1625" s="23"/>
      <c r="F1625" s="23">
        <f>2153179+67827</f>
        <v>2221006</v>
      </c>
      <c r="G1625" s="9">
        <f t="shared" si="34"/>
        <v>-6276521</v>
      </c>
    </row>
    <row r="1626" spans="1:7" x14ac:dyDescent="0.2">
      <c r="A1626" s="12">
        <v>45146</v>
      </c>
      <c r="C1626" s="2" t="s">
        <v>137</v>
      </c>
      <c r="D1626" s="1" t="s">
        <v>9</v>
      </c>
      <c r="E1626" s="3">
        <v>508521</v>
      </c>
      <c r="G1626" s="9">
        <f t="shared" si="34"/>
        <v>-5768000</v>
      </c>
    </row>
    <row r="1627" spans="1:7" x14ac:dyDescent="0.2">
      <c r="A1627" s="12">
        <v>45146</v>
      </c>
      <c r="C1627" s="2" t="s">
        <v>1093</v>
      </c>
      <c r="D1627" s="1" t="s">
        <v>9</v>
      </c>
      <c r="E1627" s="3">
        <v>35356</v>
      </c>
      <c r="G1627" s="9">
        <f t="shared" si="34"/>
        <v>-5732644</v>
      </c>
    </row>
    <row r="1628" spans="1:7" x14ac:dyDescent="0.2">
      <c r="A1628" s="20">
        <v>45147</v>
      </c>
      <c r="B1628" s="21"/>
      <c r="C1628" s="22" t="s">
        <v>1108</v>
      </c>
      <c r="D1628" s="21" t="s">
        <v>9</v>
      </c>
      <c r="E1628" s="23">
        <f>461085+166899+362060</f>
        <v>990044</v>
      </c>
      <c r="F1628" s="23"/>
      <c r="G1628" s="9">
        <f t="shared" si="34"/>
        <v>-4742600</v>
      </c>
    </row>
    <row r="1629" spans="1:7" x14ac:dyDescent="0.2">
      <c r="A1629" s="12">
        <v>45148</v>
      </c>
      <c r="C1629" s="2" t="s">
        <v>1085</v>
      </c>
      <c r="D1629" s="1" t="s">
        <v>9</v>
      </c>
      <c r="F1629" s="3">
        <f>603644+275</f>
        <v>603919</v>
      </c>
      <c r="G1629" s="9">
        <f t="shared" si="34"/>
        <v>-5346519</v>
      </c>
    </row>
    <row r="1630" spans="1:7" x14ac:dyDescent="0.2">
      <c r="A1630" s="12">
        <v>45148</v>
      </c>
      <c r="C1630" s="2" t="s">
        <v>1086</v>
      </c>
      <c r="D1630" s="1" t="s">
        <v>9</v>
      </c>
      <c r="F1630" s="3">
        <f>658278+275</f>
        <v>658553</v>
      </c>
      <c r="G1630" s="9">
        <f t="shared" si="34"/>
        <v>-6005072</v>
      </c>
    </row>
    <row r="1631" spans="1:7" x14ac:dyDescent="0.2">
      <c r="A1631" s="12">
        <v>45148</v>
      </c>
      <c r="C1631" s="2" t="s">
        <v>1087</v>
      </c>
      <c r="D1631" s="1" t="s">
        <v>9</v>
      </c>
      <c r="F1631" s="3">
        <f>111829</f>
        <v>111829</v>
      </c>
      <c r="G1631" s="9">
        <f t="shared" si="34"/>
        <v>-6116901</v>
      </c>
    </row>
    <row r="1632" spans="1:7" x14ac:dyDescent="0.2">
      <c r="A1632" s="12">
        <v>45148</v>
      </c>
      <c r="C1632" s="2" t="s">
        <v>1088</v>
      </c>
      <c r="D1632" s="1" t="s">
        <v>9</v>
      </c>
      <c r="F1632" s="3">
        <f>246384+275</f>
        <v>246659</v>
      </c>
      <c r="G1632" s="9">
        <f t="shared" si="34"/>
        <v>-6363560</v>
      </c>
    </row>
    <row r="1633" spans="1:9" x14ac:dyDescent="0.2">
      <c r="A1633" s="12">
        <v>45148</v>
      </c>
      <c r="C1633" s="2" t="s">
        <v>1089</v>
      </c>
      <c r="D1633" s="1" t="s">
        <v>9</v>
      </c>
      <c r="F1633" s="3">
        <f>1580682</f>
        <v>1580682</v>
      </c>
      <c r="G1633" s="9">
        <f t="shared" si="34"/>
        <v>-7944242</v>
      </c>
    </row>
    <row r="1634" spans="1:9" x14ac:dyDescent="0.2">
      <c r="A1634" s="12">
        <v>45148</v>
      </c>
      <c r="C1634" s="2" t="s">
        <v>1090</v>
      </c>
      <c r="D1634" s="1" t="s">
        <v>9</v>
      </c>
      <c r="F1634" s="3">
        <f>245092+275</f>
        <v>245367</v>
      </c>
      <c r="G1634" s="9">
        <f t="shared" si="34"/>
        <v>-8189609</v>
      </c>
    </row>
    <row r="1635" spans="1:9" x14ac:dyDescent="0.2">
      <c r="A1635" s="12">
        <v>45148</v>
      </c>
      <c r="C1635" s="2" t="s">
        <v>1091</v>
      </c>
      <c r="D1635" s="1" t="s">
        <v>9</v>
      </c>
      <c r="F1635" s="3">
        <f>142343+275</f>
        <v>142618</v>
      </c>
      <c r="G1635" s="9">
        <f t="shared" si="34"/>
        <v>-8332227</v>
      </c>
    </row>
    <row r="1636" spans="1:9" x14ac:dyDescent="0.2">
      <c r="A1636" s="20">
        <v>45148</v>
      </c>
      <c r="B1636" s="21"/>
      <c r="C1636" s="22" t="s">
        <v>115</v>
      </c>
      <c r="D1636" s="21" t="s">
        <v>9</v>
      </c>
      <c r="E1636" s="23">
        <v>14125</v>
      </c>
      <c r="F1636" s="23"/>
      <c r="G1636" s="9">
        <f t="shared" si="34"/>
        <v>-8318102</v>
      </c>
    </row>
    <row r="1637" spans="1:9" x14ac:dyDescent="0.2">
      <c r="A1637" s="20">
        <v>45148</v>
      </c>
      <c r="B1637" s="21"/>
      <c r="C1637" s="22" t="s">
        <v>1114</v>
      </c>
      <c r="D1637" s="21" t="s">
        <v>9</v>
      </c>
      <c r="E1637" s="23"/>
      <c r="F1637" s="23">
        <v>14125</v>
      </c>
      <c r="G1637" s="9">
        <f t="shared" si="34"/>
        <v>-8332227</v>
      </c>
    </row>
    <row r="1638" spans="1:9" x14ac:dyDescent="0.2">
      <c r="A1638" s="12">
        <v>45148</v>
      </c>
      <c r="C1638" s="2" t="s">
        <v>701</v>
      </c>
      <c r="D1638" s="1" t="s">
        <v>9</v>
      </c>
      <c r="E1638" s="3">
        <v>425774</v>
      </c>
      <c r="G1638" s="9">
        <f t="shared" si="34"/>
        <v>-7906453</v>
      </c>
    </row>
    <row r="1639" spans="1:9" x14ac:dyDescent="0.2">
      <c r="A1639" s="20">
        <v>45152</v>
      </c>
      <c r="B1639" s="21"/>
      <c r="C1639" s="22" t="s">
        <v>1106</v>
      </c>
      <c r="D1639" s="21" t="s">
        <v>9</v>
      </c>
      <c r="E1639" s="23">
        <f>192180+28509+221468+139948+254041+52463+21476+68723</f>
        <v>978808</v>
      </c>
      <c r="F1639" s="23"/>
      <c r="G1639" s="9">
        <f t="shared" si="34"/>
        <v>-6927645</v>
      </c>
    </row>
    <row r="1640" spans="1:9" x14ac:dyDescent="0.2">
      <c r="A1640" s="20">
        <v>45152</v>
      </c>
      <c r="B1640" s="21"/>
      <c r="C1640" s="22" t="s">
        <v>1105</v>
      </c>
      <c r="D1640" s="21" t="s">
        <v>9</v>
      </c>
      <c r="E1640" s="23">
        <v>77260</v>
      </c>
      <c r="F1640" s="23"/>
      <c r="G1640" s="9">
        <f t="shared" si="34"/>
        <v>-6850385</v>
      </c>
    </row>
    <row r="1641" spans="1:9" x14ac:dyDescent="0.2">
      <c r="A1641" s="12">
        <v>45154</v>
      </c>
      <c r="C1641" s="18" t="s">
        <v>1092</v>
      </c>
      <c r="D1641" s="1" t="s">
        <v>9</v>
      </c>
      <c r="F1641" s="3">
        <f>1252549</f>
        <v>1252549</v>
      </c>
      <c r="G1641" s="9">
        <f t="shared" si="34"/>
        <v>-8102934</v>
      </c>
    </row>
    <row r="1642" spans="1:9" x14ac:dyDescent="0.2">
      <c r="A1642" s="12">
        <v>45154</v>
      </c>
      <c r="C1642" s="18" t="s">
        <v>1080</v>
      </c>
      <c r="D1642" s="1" t="s">
        <v>9</v>
      </c>
      <c r="F1642" s="3">
        <v>1000000</v>
      </c>
      <c r="G1642" s="9">
        <f t="shared" si="34"/>
        <v>-9102934</v>
      </c>
    </row>
    <row r="1643" spans="1:9" x14ac:dyDescent="0.2">
      <c r="A1643" s="12">
        <v>45154</v>
      </c>
      <c r="C1643" s="2" t="s">
        <v>34</v>
      </c>
      <c r="D1643" s="1" t="s">
        <v>9</v>
      </c>
      <c r="F1643" s="3">
        <v>138</v>
      </c>
      <c r="G1643" s="9">
        <f t="shared" si="34"/>
        <v>-9103072</v>
      </c>
    </row>
    <row r="1644" spans="1:9" x14ac:dyDescent="0.2">
      <c r="A1644" s="12">
        <v>45154</v>
      </c>
      <c r="C1644" s="2" t="s">
        <v>943</v>
      </c>
      <c r="D1644" s="1" t="s">
        <v>9</v>
      </c>
      <c r="E1644" s="3">
        <v>913378</v>
      </c>
      <c r="G1644" s="9">
        <f t="shared" si="34"/>
        <v>-8189694</v>
      </c>
    </row>
    <row r="1645" spans="1:9" x14ac:dyDescent="0.2">
      <c r="A1645" s="12">
        <v>45154</v>
      </c>
      <c r="C1645" s="2" t="s">
        <v>165</v>
      </c>
      <c r="D1645" s="1" t="s">
        <v>9</v>
      </c>
      <c r="E1645" s="3">
        <v>9304</v>
      </c>
      <c r="G1645" s="9">
        <f t="shared" ref="G1645:G1671" si="35">G1644+E1645-F1645</f>
        <v>-8180390</v>
      </c>
    </row>
    <row r="1646" spans="1:9" x14ac:dyDescent="0.2">
      <c r="A1646" s="12">
        <v>45154</v>
      </c>
      <c r="C1646" s="2" t="s">
        <v>701</v>
      </c>
      <c r="D1646" s="1" t="s">
        <v>9</v>
      </c>
      <c r="E1646" s="3">
        <v>390167</v>
      </c>
      <c r="G1646" s="9">
        <f t="shared" si="35"/>
        <v>-7790223</v>
      </c>
    </row>
    <row r="1647" spans="1:9" x14ac:dyDescent="0.2">
      <c r="A1647" s="12">
        <v>45154</v>
      </c>
      <c r="C1647" s="2" t="s">
        <v>505</v>
      </c>
      <c r="D1647" s="1" t="s">
        <v>9</v>
      </c>
      <c r="E1647" s="3">
        <v>112519</v>
      </c>
      <c r="G1647" s="9">
        <f t="shared" si="35"/>
        <v>-7677704</v>
      </c>
    </row>
    <row r="1648" spans="1:9" x14ac:dyDescent="0.2">
      <c r="A1648" s="12">
        <v>45154</v>
      </c>
      <c r="C1648" s="2" t="s">
        <v>926</v>
      </c>
      <c r="D1648" s="1" t="s">
        <v>9</v>
      </c>
      <c r="E1648" s="3">
        <v>359125</v>
      </c>
      <c r="G1648" s="29">
        <f t="shared" si="35"/>
        <v>-7318579</v>
      </c>
      <c r="I1648" s="24"/>
    </row>
    <row r="1649" spans="1:7" x14ac:dyDescent="0.2">
      <c r="A1649" s="12">
        <v>45155</v>
      </c>
      <c r="C1649" s="2" t="s">
        <v>35</v>
      </c>
      <c r="D1649" s="1" t="s">
        <v>9</v>
      </c>
      <c r="F1649" s="3">
        <v>6600</v>
      </c>
      <c r="G1649" s="9">
        <f t="shared" si="35"/>
        <v>-7325179</v>
      </c>
    </row>
    <row r="1650" spans="1:7" x14ac:dyDescent="0.2">
      <c r="A1650" s="20">
        <v>45155</v>
      </c>
      <c r="B1650" s="21"/>
      <c r="C1650" s="22" t="s">
        <v>1117</v>
      </c>
      <c r="D1650" s="21" t="s">
        <v>9</v>
      </c>
      <c r="E1650" s="23"/>
      <c r="F1650" s="23">
        <v>21000</v>
      </c>
      <c r="G1650" s="9">
        <f t="shared" si="35"/>
        <v>-7346179</v>
      </c>
    </row>
    <row r="1651" spans="1:7" x14ac:dyDescent="0.2">
      <c r="A1651" s="20">
        <v>45155</v>
      </c>
      <c r="B1651" s="21"/>
      <c r="C1651" s="22" t="s">
        <v>528</v>
      </c>
      <c r="D1651" s="21" t="s">
        <v>9</v>
      </c>
      <c r="E1651" s="23"/>
      <c r="F1651" s="23">
        <v>5000</v>
      </c>
      <c r="G1651" s="9">
        <f t="shared" si="35"/>
        <v>-7351179</v>
      </c>
    </row>
    <row r="1652" spans="1:7" x14ac:dyDescent="0.2">
      <c r="A1652" s="20">
        <v>45155</v>
      </c>
      <c r="B1652" s="21"/>
      <c r="C1652" s="22" t="s">
        <v>897</v>
      </c>
      <c r="D1652" s="21" t="s">
        <v>9</v>
      </c>
      <c r="E1652" s="23"/>
      <c r="F1652" s="23">
        <v>644410</v>
      </c>
      <c r="G1652" s="9">
        <f t="shared" si="35"/>
        <v>-7995589</v>
      </c>
    </row>
    <row r="1653" spans="1:7" x14ac:dyDescent="0.2">
      <c r="A1653" s="20">
        <v>45155</v>
      </c>
      <c r="B1653" s="21"/>
      <c r="C1653" s="22" t="s">
        <v>528</v>
      </c>
      <c r="D1653" s="21" t="s">
        <v>9</v>
      </c>
      <c r="E1653" s="23"/>
      <c r="F1653" s="23">
        <v>5000</v>
      </c>
      <c r="G1653" s="9">
        <f t="shared" si="35"/>
        <v>-8000589</v>
      </c>
    </row>
    <row r="1654" spans="1:7" x14ac:dyDescent="0.2">
      <c r="A1654" s="20">
        <v>45155</v>
      </c>
      <c r="B1654" s="21"/>
      <c r="C1654" s="22" t="s">
        <v>711</v>
      </c>
      <c r="D1654" s="21" t="s">
        <v>9</v>
      </c>
      <c r="E1654" s="23"/>
      <c r="F1654" s="23">
        <v>22674</v>
      </c>
      <c r="G1654" s="9">
        <f t="shared" si="35"/>
        <v>-8023263</v>
      </c>
    </row>
    <row r="1655" spans="1:7" x14ac:dyDescent="0.2">
      <c r="A1655" s="20">
        <v>45155</v>
      </c>
      <c r="B1655" s="21"/>
      <c r="C1655" s="22" t="s">
        <v>528</v>
      </c>
      <c r="D1655" s="21" t="s">
        <v>9</v>
      </c>
      <c r="E1655" s="23"/>
      <c r="F1655" s="23">
        <v>5000</v>
      </c>
      <c r="G1655" s="9">
        <f t="shared" si="35"/>
        <v>-8028263</v>
      </c>
    </row>
    <row r="1656" spans="1:7" x14ac:dyDescent="0.2">
      <c r="A1656" s="20">
        <v>45159</v>
      </c>
      <c r="B1656" s="21"/>
      <c r="C1656" s="22" t="s">
        <v>1095</v>
      </c>
      <c r="D1656" s="21" t="s">
        <v>9</v>
      </c>
      <c r="E1656" s="23">
        <v>10000</v>
      </c>
      <c r="F1656" s="23"/>
      <c r="G1656" s="9">
        <f t="shared" si="35"/>
        <v>-8018263</v>
      </c>
    </row>
    <row r="1657" spans="1:7" x14ac:dyDescent="0.2">
      <c r="A1657" s="12">
        <v>45159</v>
      </c>
      <c r="C1657" s="2" t="s">
        <v>1095</v>
      </c>
      <c r="D1657" s="1" t="s">
        <v>9</v>
      </c>
      <c r="E1657" s="3">
        <v>360000</v>
      </c>
      <c r="G1657" s="9">
        <f t="shared" si="35"/>
        <v>-7658263</v>
      </c>
    </row>
    <row r="1658" spans="1:7" x14ac:dyDescent="0.2">
      <c r="A1658" s="12">
        <v>45159</v>
      </c>
      <c r="C1658" s="2" t="s">
        <v>53</v>
      </c>
      <c r="D1658" s="1" t="s">
        <v>9</v>
      </c>
      <c r="F1658" s="3">
        <v>100</v>
      </c>
      <c r="G1658" s="9">
        <f t="shared" si="35"/>
        <v>-7658363</v>
      </c>
    </row>
    <row r="1659" spans="1:7" x14ac:dyDescent="0.2">
      <c r="A1659" s="12">
        <v>45159</v>
      </c>
      <c r="C1659" s="2" t="s">
        <v>53</v>
      </c>
      <c r="D1659" s="1" t="s">
        <v>9</v>
      </c>
      <c r="F1659" s="3">
        <v>100</v>
      </c>
      <c r="G1659" s="9">
        <f t="shared" si="35"/>
        <v>-7658463</v>
      </c>
    </row>
    <row r="1660" spans="1:7" x14ac:dyDescent="0.2">
      <c r="A1660" s="20">
        <v>45159</v>
      </c>
      <c r="B1660" s="21"/>
      <c r="C1660" s="22" t="s">
        <v>1107</v>
      </c>
      <c r="D1660" s="21" t="s">
        <v>9</v>
      </c>
      <c r="E1660" s="23">
        <f>1136239+350000+217120</f>
        <v>1703359</v>
      </c>
      <c r="F1660" s="23"/>
      <c r="G1660" s="9">
        <f t="shared" si="35"/>
        <v>-5955104</v>
      </c>
    </row>
    <row r="1661" spans="1:7" x14ac:dyDescent="0.2">
      <c r="A1661" s="12">
        <v>45162</v>
      </c>
      <c r="C1661" s="18" t="s">
        <v>1094</v>
      </c>
      <c r="D1661" s="1" t="s">
        <v>9</v>
      </c>
      <c r="F1661" s="3">
        <f>4175646</f>
        <v>4175646</v>
      </c>
      <c r="G1661" s="9">
        <f t="shared" si="35"/>
        <v>-10130750</v>
      </c>
    </row>
    <row r="1662" spans="1:7" x14ac:dyDescent="0.2">
      <c r="A1662" s="12">
        <v>45162</v>
      </c>
      <c r="C1662" s="2" t="s">
        <v>258</v>
      </c>
      <c r="D1662" s="1" t="s">
        <v>9</v>
      </c>
      <c r="E1662" s="3">
        <v>1810330</v>
      </c>
      <c r="G1662" s="29">
        <f t="shared" si="35"/>
        <v>-8320420</v>
      </c>
    </row>
    <row r="1663" spans="1:7" x14ac:dyDescent="0.2">
      <c r="A1663" s="12">
        <v>45166</v>
      </c>
      <c r="C1663" s="2" t="s">
        <v>1110</v>
      </c>
      <c r="D1663" s="1" t="s">
        <v>9</v>
      </c>
      <c r="E1663" s="3">
        <v>1026321</v>
      </c>
      <c r="G1663" s="29">
        <f t="shared" si="35"/>
        <v>-7294099</v>
      </c>
    </row>
    <row r="1664" spans="1:7" x14ac:dyDescent="0.2">
      <c r="A1664" s="12">
        <v>45163</v>
      </c>
      <c r="C1664" s="2" t="s">
        <v>27</v>
      </c>
      <c r="D1664" s="1" t="s">
        <v>9</v>
      </c>
      <c r="F1664" s="3">
        <v>150000</v>
      </c>
      <c r="G1664" s="29">
        <f t="shared" si="35"/>
        <v>-7444099</v>
      </c>
    </row>
    <row r="1665" spans="1:9" x14ac:dyDescent="0.2">
      <c r="A1665" s="20">
        <v>45163</v>
      </c>
      <c r="B1665" s="21"/>
      <c r="C1665" s="22" t="s">
        <v>1104</v>
      </c>
      <c r="D1665" s="21" t="s">
        <v>9</v>
      </c>
      <c r="E1665" s="23">
        <f>92984+370912+42480+85148+2679603+465427+1175890+2185298</f>
        <v>7097742</v>
      </c>
      <c r="F1665" s="23"/>
      <c r="G1665" s="29">
        <f t="shared" si="35"/>
        <v>-346357</v>
      </c>
    </row>
    <row r="1666" spans="1:9" x14ac:dyDescent="0.2">
      <c r="A1666" s="20">
        <v>45163</v>
      </c>
      <c r="B1666" s="21"/>
      <c r="C1666" s="22" t="s">
        <v>1103</v>
      </c>
      <c r="D1666" s="21" t="s">
        <v>9</v>
      </c>
      <c r="E1666" s="23">
        <f>141600+1580256+54162+199610</f>
        <v>1975628</v>
      </c>
      <c r="F1666" s="23"/>
      <c r="G1666" s="29">
        <f t="shared" si="35"/>
        <v>1629271</v>
      </c>
    </row>
    <row r="1667" spans="1:9" x14ac:dyDescent="0.2">
      <c r="A1667" s="20">
        <v>45168</v>
      </c>
      <c r="B1667" s="21"/>
      <c r="C1667" s="22" t="s">
        <v>1102</v>
      </c>
      <c r="D1667" s="21" t="s">
        <v>9</v>
      </c>
      <c r="E1667" s="23">
        <f>4691342+130213+350000+149949+367720+103415</f>
        <v>5792639</v>
      </c>
      <c r="F1667" s="23"/>
      <c r="G1667" s="29">
        <f t="shared" si="35"/>
        <v>7421910</v>
      </c>
    </row>
    <row r="1668" spans="1:9" x14ac:dyDescent="0.2">
      <c r="A1668" s="12">
        <v>45169</v>
      </c>
      <c r="C1668" s="18" t="s">
        <v>1097</v>
      </c>
      <c r="D1668" s="1" t="s">
        <v>9</v>
      </c>
      <c r="F1668" s="3">
        <v>1000000</v>
      </c>
      <c r="G1668" s="29">
        <f t="shared" si="35"/>
        <v>6421910</v>
      </c>
    </row>
    <row r="1669" spans="1:9" x14ac:dyDescent="0.2">
      <c r="A1669" s="12">
        <v>45169</v>
      </c>
      <c r="C1669" s="2" t="s">
        <v>34</v>
      </c>
      <c r="D1669" s="1" t="s">
        <v>9</v>
      </c>
      <c r="F1669" s="3">
        <v>138</v>
      </c>
      <c r="G1669" s="29">
        <f t="shared" si="35"/>
        <v>6421772</v>
      </c>
    </row>
    <row r="1670" spans="1:9" x14ac:dyDescent="0.2">
      <c r="A1670" s="12">
        <v>45169</v>
      </c>
      <c r="C1670" s="2" t="s">
        <v>1100</v>
      </c>
      <c r="D1670" s="1" t="s">
        <v>9</v>
      </c>
      <c r="F1670" s="3">
        <v>135884</v>
      </c>
      <c r="G1670" s="29">
        <f t="shared" si="35"/>
        <v>6285888</v>
      </c>
    </row>
    <row r="1671" spans="1:9" x14ac:dyDescent="0.2">
      <c r="A1671" s="12">
        <v>45169</v>
      </c>
      <c r="C1671" s="18" t="s">
        <v>1124</v>
      </c>
      <c r="D1671" s="1" t="s">
        <v>9</v>
      </c>
      <c r="E1671" s="3">
        <f>221722+29500+425744+69307</f>
        <v>746273</v>
      </c>
      <c r="G1671" s="29">
        <f t="shared" si="35"/>
        <v>7032161</v>
      </c>
    </row>
    <row r="1672" spans="1:9" s="28" customFormat="1" ht="15.75" x14ac:dyDescent="0.25">
      <c r="A1672" s="10" t="s">
        <v>1101</v>
      </c>
      <c r="B1672" s="1"/>
      <c r="C1672" s="2"/>
      <c r="D1672" s="1"/>
      <c r="E1672" s="3"/>
      <c r="F1672" s="3"/>
      <c r="G1672" s="9"/>
      <c r="H1672" s="27"/>
      <c r="I1672" s="26"/>
    </row>
    <row r="1673" spans="1:9" s="28" customFormat="1" x14ac:dyDescent="0.2">
      <c r="A1673" s="11" t="s">
        <v>2</v>
      </c>
      <c r="B1673" s="5" t="s">
        <v>1</v>
      </c>
      <c r="C1673" s="5" t="s">
        <v>3</v>
      </c>
      <c r="D1673" s="5"/>
      <c r="E1673" s="7" t="s">
        <v>4</v>
      </c>
      <c r="F1673" s="7" t="s">
        <v>6</v>
      </c>
      <c r="G1673" s="8" t="s">
        <v>5</v>
      </c>
      <c r="H1673" s="27"/>
      <c r="I1673" s="26"/>
    </row>
    <row r="1674" spans="1:9" x14ac:dyDescent="0.2">
      <c r="A1674" s="12">
        <v>45170</v>
      </c>
      <c r="C1674" s="18" t="s">
        <v>1098</v>
      </c>
      <c r="D1674" s="1" t="s">
        <v>9</v>
      </c>
      <c r="F1674" s="3">
        <f>1010684</f>
        <v>1010684</v>
      </c>
      <c r="G1674" s="9">
        <f>G1671+E1674-F1674</f>
        <v>6021477</v>
      </c>
    </row>
    <row r="1675" spans="1:9" x14ac:dyDescent="0.2">
      <c r="A1675" s="12">
        <v>45170</v>
      </c>
      <c r="C1675" s="18" t="s">
        <v>1097</v>
      </c>
      <c r="D1675" s="1" t="s">
        <v>9</v>
      </c>
      <c r="F1675" s="3">
        <v>3786847</v>
      </c>
      <c r="G1675" s="9">
        <f>G1674+E1675-F1675</f>
        <v>2234630</v>
      </c>
    </row>
    <row r="1676" spans="1:9" x14ac:dyDescent="0.2">
      <c r="A1676" s="12">
        <v>45170</v>
      </c>
      <c r="C1676" s="2" t="s">
        <v>34</v>
      </c>
      <c r="D1676" s="1" t="s">
        <v>9</v>
      </c>
      <c r="F1676" s="3">
        <v>275</v>
      </c>
      <c r="G1676" s="9">
        <f t="shared" ref="G1676:G1734" si="36">G1675+E1676-F1676</f>
        <v>2234355</v>
      </c>
    </row>
    <row r="1677" spans="1:9" x14ac:dyDescent="0.2">
      <c r="A1677" s="20">
        <v>45170</v>
      </c>
      <c r="B1677" s="21"/>
      <c r="C1677" s="22" t="s">
        <v>1113</v>
      </c>
      <c r="D1677" s="21" t="s">
        <v>9</v>
      </c>
      <c r="E1677" s="23">
        <v>585120</v>
      </c>
      <c r="F1677" s="23"/>
      <c r="G1677" s="9">
        <f t="shared" si="36"/>
        <v>2819475</v>
      </c>
    </row>
    <row r="1678" spans="1:9" x14ac:dyDescent="0.2">
      <c r="A1678" s="12">
        <v>45171</v>
      </c>
      <c r="C1678" s="18" t="s">
        <v>1099</v>
      </c>
      <c r="D1678" s="1" t="s">
        <v>9</v>
      </c>
      <c r="F1678" s="3">
        <f>1518611</f>
        <v>1518611</v>
      </c>
      <c r="G1678" s="9">
        <f t="shared" si="36"/>
        <v>1300864</v>
      </c>
    </row>
    <row r="1679" spans="1:9" x14ac:dyDescent="0.2">
      <c r="A1679" s="12">
        <v>45173</v>
      </c>
      <c r="C1679" s="2" t="s">
        <v>1111</v>
      </c>
      <c r="D1679" s="1" t="s">
        <v>9</v>
      </c>
      <c r="F1679" s="3">
        <v>4000</v>
      </c>
      <c r="G1679" s="9">
        <f t="shared" si="36"/>
        <v>1296864</v>
      </c>
    </row>
    <row r="1680" spans="1:9" x14ac:dyDescent="0.2">
      <c r="A1680" s="12">
        <v>45173</v>
      </c>
      <c r="C1680" s="2" t="s">
        <v>1112</v>
      </c>
      <c r="D1680" s="1" t="s">
        <v>9</v>
      </c>
      <c r="F1680" s="3">
        <f>3347303+91412</f>
        <v>3438715</v>
      </c>
      <c r="G1680" s="9">
        <f t="shared" si="36"/>
        <v>-2141851</v>
      </c>
    </row>
    <row r="1681" spans="1:7" x14ac:dyDescent="0.2">
      <c r="A1681" s="12">
        <v>45173</v>
      </c>
      <c r="C1681" s="2" t="s">
        <v>906</v>
      </c>
      <c r="D1681" s="1" t="s">
        <v>9</v>
      </c>
      <c r="E1681" s="3">
        <v>7186</v>
      </c>
      <c r="G1681" s="9">
        <f t="shared" si="36"/>
        <v>-2134665</v>
      </c>
    </row>
    <row r="1682" spans="1:7" x14ac:dyDescent="0.2">
      <c r="A1682" s="12">
        <v>45174</v>
      </c>
      <c r="C1682" s="34" t="s">
        <v>1115</v>
      </c>
      <c r="D1682" s="35" t="s">
        <v>9</v>
      </c>
      <c r="E1682" s="36"/>
      <c r="F1682" s="36">
        <f>2994444+84439</f>
        <v>3078883</v>
      </c>
      <c r="G1682" s="9">
        <f t="shared" si="36"/>
        <v>-5213548</v>
      </c>
    </row>
    <row r="1683" spans="1:7" x14ac:dyDescent="0.2">
      <c r="A1683" s="37">
        <v>45174</v>
      </c>
      <c r="B1683" s="35"/>
      <c r="C1683" s="22" t="s">
        <v>1118</v>
      </c>
      <c r="D1683" s="21" t="s">
        <v>9</v>
      </c>
      <c r="E1683" s="23">
        <f>309405+299661+16898</f>
        <v>625964</v>
      </c>
      <c r="G1683" s="9">
        <f t="shared" si="36"/>
        <v>-4587584</v>
      </c>
    </row>
    <row r="1684" spans="1:7" x14ac:dyDescent="0.2">
      <c r="A1684" s="12">
        <v>45175</v>
      </c>
      <c r="C1684" s="2" t="s">
        <v>1121</v>
      </c>
      <c r="D1684" s="1" t="s">
        <v>9</v>
      </c>
      <c r="E1684" s="3">
        <v>6078180</v>
      </c>
      <c r="G1684" s="9">
        <f t="shared" si="36"/>
        <v>1490596</v>
      </c>
    </row>
    <row r="1685" spans="1:7" x14ac:dyDescent="0.2">
      <c r="A1685" s="12">
        <v>45176</v>
      </c>
      <c r="C1685" s="22" t="s">
        <v>1119</v>
      </c>
      <c r="D1685" s="1" t="s">
        <v>9</v>
      </c>
      <c r="E1685" s="3">
        <f>36108+378926+30822+82317+25866+132750+175395+87414</f>
        <v>949598</v>
      </c>
      <c r="G1685" s="9">
        <f t="shared" si="36"/>
        <v>2440194</v>
      </c>
    </row>
    <row r="1686" spans="1:7" x14ac:dyDescent="0.2">
      <c r="A1686" s="13">
        <v>45176</v>
      </c>
      <c r="B1686" s="14"/>
      <c r="C1686" s="15" t="s">
        <v>1127</v>
      </c>
      <c r="D1686" s="14"/>
      <c r="E1686" s="16">
        <v>181047</v>
      </c>
      <c r="F1686" s="16"/>
      <c r="G1686" s="9">
        <f t="shared" si="36"/>
        <v>2621241</v>
      </c>
    </row>
    <row r="1687" spans="1:7" x14ac:dyDescent="0.2">
      <c r="A1687" s="20">
        <v>45176</v>
      </c>
      <c r="B1687" s="21"/>
      <c r="C1687" s="22" t="s">
        <v>84</v>
      </c>
      <c r="D1687" s="21" t="s">
        <v>9</v>
      </c>
      <c r="E1687" s="23"/>
      <c r="F1687" s="23">
        <v>594055</v>
      </c>
      <c r="G1687" s="9">
        <f t="shared" si="36"/>
        <v>2027186</v>
      </c>
    </row>
    <row r="1688" spans="1:7" x14ac:dyDescent="0.2">
      <c r="A1688" s="12">
        <v>45177</v>
      </c>
      <c r="C1688" s="22" t="s">
        <v>505</v>
      </c>
      <c r="D1688" s="1" t="s">
        <v>9</v>
      </c>
      <c r="E1688" s="3">
        <v>81175</v>
      </c>
      <c r="G1688" s="9">
        <f t="shared" si="36"/>
        <v>2108361</v>
      </c>
    </row>
    <row r="1689" spans="1:7" x14ac:dyDescent="0.2">
      <c r="A1689" s="12">
        <v>45177</v>
      </c>
      <c r="B1689" s="1" t="s">
        <v>1120</v>
      </c>
      <c r="C1689" s="2" t="s">
        <v>154</v>
      </c>
      <c r="D1689" s="1" t="s">
        <v>9</v>
      </c>
      <c r="F1689" s="3">
        <v>276905</v>
      </c>
      <c r="G1689" s="9">
        <f t="shared" si="36"/>
        <v>1831456</v>
      </c>
    </row>
    <row r="1690" spans="1:7" x14ac:dyDescent="0.2">
      <c r="A1690" s="12">
        <v>45177</v>
      </c>
      <c r="C1690" s="2" t="s">
        <v>165</v>
      </c>
      <c r="D1690" s="1" t="s">
        <v>9</v>
      </c>
      <c r="E1690" s="3">
        <v>13200</v>
      </c>
      <c r="G1690" s="9">
        <f t="shared" si="36"/>
        <v>1844656</v>
      </c>
    </row>
    <row r="1691" spans="1:7" x14ac:dyDescent="0.2">
      <c r="A1691" s="12">
        <v>45180</v>
      </c>
      <c r="C1691" s="22" t="s">
        <v>1117</v>
      </c>
      <c r="D1691" s="1" t="s">
        <v>9</v>
      </c>
      <c r="F1691" s="3">
        <v>6100</v>
      </c>
      <c r="G1691" s="9">
        <f t="shared" si="36"/>
        <v>1838556</v>
      </c>
    </row>
    <row r="1692" spans="1:7" x14ac:dyDescent="0.2">
      <c r="A1692" s="12">
        <v>45180</v>
      </c>
      <c r="C1692" s="22" t="s">
        <v>528</v>
      </c>
      <c r="D1692" s="1" t="s">
        <v>9</v>
      </c>
      <c r="F1692" s="3">
        <v>5000</v>
      </c>
      <c r="G1692" s="9">
        <f t="shared" si="36"/>
        <v>1833556</v>
      </c>
    </row>
    <row r="1693" spans="1:7" x14ac:dyDescent="0.2">
      <c r="A1693" s="12">
        <v>45180</v>
      </c>
      <c r="C1693" s="22" t="s">
        <v>1144</v>
      </c>
      <c r="D1693" s="1" t="s">
        <v>9</v>
      </c>
      <c r="F1693" s="3">
        <v>3437512</v>
      </c>
      <c r="G1693" s="9">
        <f t="shared" si="36"/>
        <v>-1603956</v>
      </c>
    </row>
    <row r="1694" spans="1:7" x14ac:dyDescent="0.2">
      <c r="A1694" s="12">
        <v>45180</v>
      </c>
      <c r="C1694" s="22" t="s">
        <v>528</v>
      </c>
      <c r="D1694" s="1" t="s">
        <v>9</v>
      </c>
      <c r="F1694" s="3">
        <v>5000</v>
      </c>
      <c r="G1694" s="9">
        <f t="shared" si="36"/>
        <v>-1608956</v>
      </c>
    </row>
    <row r="1695" spans="1:7" x14ac:dyDescent="0.2">
      <c r="A1695" s="12">
        <v>45180</v>
      </c>
      <c r="C1695" s="22" t="s">
        <v>711</v>
      </c>
      <c r="D1695" s="1" t="s">
        <v>9</v>
      </c>
      <c r="F1695" s="3">
        <v>30492</v>
      </c>
      <c r="G1695" s="9">
        <f t="shared" si="36"/>
        <v>-1639448</v>
      </c>
    </row>
    <row r="1696" spans="1:7" x14ac:dyDescent="0.2">
      <c r="A1696" s="12">
        <v>45180</v>
      </c>
      <c r="C1696" s="22" t="s">
        <v>528</v>
      </c>
      <c r="D1696" s="1" t="s">
        <v>9</v>
      </c>
      <c r="F1696" s="3">
        <v>5000</v>
      </c>
      <c r="G1696" s="9">
        <f t="shared" si="36"/>
        <v>-1644448</v>
      </c>
    </row>
    <row r="1697" spans="1:7" x14ac:dyDescent="0.2">
      <c r="A1697" s="12">
        <v>45180</v>
      </c>
      <c r="C1697" s="2" t="s">
        <v>1122</v>
      </c>
      <c r="D1697" s="1" t="s">
        <v>9</v>
      </c>
      <c r="E1697" s="3">
        <f>500000+475192+426572+205084+9580+95344</f>
        <v>1711772</v>
      </c>
      <c r="G1697" s="9">
        <f t="shared" si="36"/>
        <v>67324</v>
      </c>
    </row>
    <row r="1698" spans="1:7" x14ac:dyDescent="0.2">
      <c r="A1698" s="37">
        <v>45180</v>
      </c>
      <c r="B1698" s="35"/>
      <c r="C1698" s="34" t="s">
        <v>1132</v>
      </c>
      <c r="D1698" s="35" t="s">
        <v>9</v>
      </c>
      <c r="E1698" s="36">
        <v>425744</v>
      </c>
      <c r="F1698" s="36"/>
      <c r="G1698" s="9">
        <f t="shared" si="36"/>
        <v>493068</v>
      </c>
    </row>
    <row r="1699" spans="1:7" x14ac:dyDescent="0.2">
      <c r="A1699" s="37">
        <v>45180</v>
      </c>
      <c r="B1699" s="35"/>
      <c r="C1699" s="34" t="s">
        <v>61</v>
      </c>
      <c r="D1699" s="35" t="s">
        <v>9</v>
      </c>
      <c r="E1699" s="36">
        <v>919510</v>
      </c>
      <c r="F1699" s="36"/>
      <c r="G1699" s="9">
        <f t="shared" si="36"/>
        <v>1412578</v>
      </c>
    </row>
    <row r="1700" spans="1:7" x14ac:dyDescent="0.2">
      <c r="A1700" s="37">
        <v>45180</v>
      </c>
      <c r="B1700" s="35"/>
      <c r="C1700" s="34" t="s">
        <v>1133</v>
      </c>
      <c r="D1700" s="35" t="s">
        <v>9</v>
      </c>
      <c r="E1700" s="36"/>
      <c r="F1700" s="36">
        <v>425744</v>
      </c>
      <c r="G1700" s="9">
        <f t="shared" si="36"/>
        <v>986834</v>
      </c>
    </row>
    <row r="1701" spans="1:7" x14ac:dyDescent="0.2">
      <c r="A1701" s="12">
        <v>45182</v>
      </c>
      <c r="C1701" s="2" t="s">
        <v>1123</v>
      </c>
      <c r="D1701" s="1" t="s">
        <v>9</v>
      </c>
      <c r="E1701" s="3">
        <f>62833+569206+35105+201266+105400</f>
        <v>973810</v>
      </c>
      <c r="G1701" s="9">
        <f t="shared" si="36"/>
        <v>1960644</v>
      </c>
    </row>
    <row r="1702" spans="1:7" x14ac:dyDescent="0.2">
      <c r="A1702" s="12">
        <v>45182</v>
      </c>
      <c r="C1702" s="2" t="s">
        <v>1131</v>
      </c>
      <c r="D1702" s="1" t="s">
        <v>9</v>
      </c>
      <c r="E1702" s="3">
        <v>60180</v>
      </c>
      <c r="G1702" s="9">
        <f t="shared" si="36"/>
        <v>2020824</v>
      </c>
    </row>
    <row r="1703" spans="1:7" x14ac:dyDescent="0.2">
      <c r="A1703" s="12">
        <v>45183</v>
      </c>
      <c r="C1703" s="2" t="s">
        <v>1125</v>
      </c>
      <c r="D1703" s="1" t="s">
        <v>9</v>
      </c>
      <c r="F1703" s="3">
        <f>5665009+137184</f>
        <v>5802193</v>
      </c>
      <c r="G1703" s="9">
        <f t="shared" si="36"/>
        <v>-3781369</v>
      </c>
    </row>
    <row r="1704" spans="1:7" x14ac:dyDescent="0.2">
      <c r="A1704" s="12">
        <v>45183</v>
      </c>
      <c r="C1704" s="2" t="s">
        <v>1126</v>
      </c>
      <c r="D1704" s="1" t="s">
        <v>9</v>
      </c>
      <c r="E1704" s="3">
        <v>115345</v>
      </c>
      <c r="G1704" s="9">
        <f t="shared" si="36"/>
        <v>-3666024</v>
      </c>
    </row>
    <row r="1705" spans="1:7" x14ac:dyDescent="0.2">
      <c r="A1705" s="12">
        <v>45183</v>
      </c>
      <c r="C1705" s="2" t="s">
        <v>1128</v>
      </c>
      <c r="D1705" s="1" t="s">
        <v>9</v>
      </c>
      <c r="E1705" s="3">
        <v>283050</v>
      </c>
      <c r="G1705" s="9">
        <f t="shared" si="36"/>
        <v>-3382974</v>
      </c>
    </row>
    <row r="1706" spans="1:7" x14ac:dyDescent="0.2">
      <c r="A1706" s="12">
        <v>45184</v>
      </c>
      <c r="C1706" s="2" t="s">
        <v>1129</v>
      </c>
      <c r="D1706" s="1" t="s">
        <v>9</v>
      </c>
      <c r="E1706" s="3">
        <f>116796+1005993+647316+56670</f>
        <v>1826775</v>
      </c>
      <c r="G1706" s="9">
        <f t="shared" si="36"/>
        <v>-1556199</v>
      </c>
    </row>
    <row r="1707" spans="1:7" x14ac:dyDescent="0.2">
      <c r="A1707" s="12">
        <v>45187</v>
      </c>
      <c r="C1707" s="2" t="s">
        <v>35</v>
      </c>
      <c r="D1707" s="1" t="s">
        <v>9</v>
      </c>
      <c r="F1707" s="3">
        <v>6600</v>
      </c>
      <c r="G1707" s="9">
        <f t="shared" si="36"/>
        <v>-1562799</v>
      </c>
    </row>
    <row r="1708" spans="1:7" x14ac:dyDescent="0.2">
      <c r="A1708" s="12">
        <v>45187</v>
      </c>
      <c r="C1708" s="2" t="s">
        <v>555</v>
      </c>
      <c r="D1708" s="1" t="s">
        <v>9</v>
      </c>
      <c r="E1708" s="3">
        <v>31737</v>
      </c>
      <c r="G1708" s="9">
        <f t="shared" si="36"/>
        <v>-1531062</v>
      </c>
    </row>
    <row r="1709" spans="1:7" x14ac:dyDescent="0.2">
      <c r="A1709" s="12">
        <v>45187</v>
      </c>
      <c r="C1709" s="2" t="s">
        <v>1130</v>
      </c>
      <c r="D1709" s="1" t="s">
        <v>9</v>
      </c>
      <c r="E1709" s="3">
        <v>92757</v>
      </c>
      <c r="G1709" s="9">
        <f t="shared" si="36"/>
        <v>-1438305</v>
      </c>
    </row>
    <row r="1710" spans="1:7" x14ac:dyDescent="0.2">
      <c r="A1710" s="12">
        <v>45188</v>
      </c>
      <c r="C1710" s="2" t="s">
        <v>1053</v>
      </c>
      <c r="D1710" s="1" t="s">
        <v>9</v>
      </c>
      <c r="E1710" s="3">
        <v>71400</v>
      </c>
      <c r="G1710" s="9">
        <f t="shared" si="36"/>
        <v>-1366905</v>
      </c>
    </row>
    <row r="1711" spans="1:7" x14ac:dyDescent="0.2">
      <c r="A1711" s="12">
        <v>45189</v>
      </c>
      <c r="C1711" s="2" t="s">
        <v>377</v>
      </c>
      <c r="D1711" s="1" t="s">
        <v>9</v>
      </c>
      <c r="E1711" s="3">
        <v>600000</v>
      </c>
      <c r="G1711" s="9">
        <f t="shared" si="36"/>
        <v>-766905</v>
      </c>
    </row>
    <row r="1712" spans="1:7" x14ac:dyDescent="0.2">
      <c r="A1712" s="12">
        <v>45189</v>
      </c>
      <c r="C1712" s="2" t="s">
        <v>1134</v>
      </c>
      <c r="D1712" s="1" t="s">
        <v>9</v>
      </c>
      <c r="E1712" s="3">
        <f>185449+74719+99120+43105+569864+332583+37939</f>
        <v>1342779</v>
      </c>
      <c r="G1712" s="9">
        <f t="shared" si="36"/>
        <v>575874</v>
      </c>
    </row>
    <row r="1713" spans="1:7" x14ac:dyDescent="0.2">
      <c r="A1713" s="12">
        <v>45189</v>
      </c>
      <c r="C1713" s="2" t="s">
        <v>35</v>
      </c>
      <c r="D1713" s="1" t="s">
        <v>9</v>
      </c>
      <c r="F1713" s="3">
        <v>6600</v>
      </c>
      <c r="G1713" s="9">
        <f t="shared" si="36"/>
        <v>569274</v>
      </c>
    </row>
    <row r="1714" spans="1:7" x14ac:dyDescent="0.2">
      <c r="A1714" s="12">
        <v>45189</v>
      </c>
      <c r="C1714" s="2" t="s">
        <v>53</v>
      </c>
      <c r="D1714" s="1" t="s">
        <v>9</v>
      </c>
      <c r="F1714" s="3">
        <v>100</v>
      </c>
      <c r="G1714" s="9">
        <f t="shared" si="36"/>
        <v>569174</v>
      </c>
    </row>
    <row r="1715" spans="1:7" x14ac:dyDescent="0.2">
      <c r="A1715" s="12">
        <v>45190</v>
      </c>
      <c r="C1715" s="2" t="s">
        <v>258</v>
      </c>
      <c r="D1715" s="1" t="s">
        <v>9</v>
      </c>
      <c r="E1715" s="3">
        <v>92140</v>
      </c>
      <c r="G1715" s="9">
        <f t="shared" si="36"/>
        <v>661314</v>
      </c>
    </row>
    <row r="1716" spans="1:7" x14ac:dyDescent="0.2">
      <c r="A1716" s="12">
        <v>45190</v>
      </c>
      <c r="C1716" s="2" t="s">
        <v>1028</v>
      </c>
      <c r="D1716" s="1" t="s">
        <v>9</v>
      </c>
      <c r="E1716" s="3">
        <v>156468</v>
      </c>
      <c r="G1716" s="9">
        <f t="shared" si="36"/>
        <v>817782</v>
      </c>
    </row>
    <row r="1717" spans="1:7" x14ac:dyDescent="0.2">
      <c r="A1717" s="12">
        <v>45191</v>
      </c>
      <c r="C1717" s="2" t="s">
        <v>1135</v>
      </c>
      <c r="D1717" s="1" t="s">
        <v>9</v>
      </c>
      <c r="E1717" s="3">
        <f>64192+585981+791808+481600</f>
        <v>1923581</v>
      </c>
      <c r="G1717" s="9">
        <f t="shared" si="36"/>
        <v>2741363</v>
      </c>
    </row>
    <row r="1718" spans="1:7" x14ac:dyDescent="0.2">
      <c r="A1718" s="12">
        <v>45194</v>
      </c>
      <c r="C1718" s="2" t="s">
        <v>1136</v>
      </c>
      <c r="D1718" s="1" t="s">
        <v>9</v>
      </c>
      <c r="F1718" s="3">
        <f>700000</f>
        <v>700000</v>
      </c>
      <c r="G1718" s="9">
        <f t="shared" si="36"/>
        <v>2041363</v>
      </c>
    </row>
    <row r="1719" spans="1:7" x14ac:dyDescent="0.2">
      <c r="A1719" s="12">
        <v>45194</v>
      </c>
      <c r="C1719" s="2" t="s">
        <v>1137</v>
      </c>
      <c r="D1719" s="1" t="s">
        <v>9</v>
      </c>
      <c r="F1719" s="3">
        <f>874935+275</f>
        <v>875210</v>
      </c>
      <c r="G1719" s="9">
        <f t="shared" si="36"/>
        <v>1166153</v>
      </c>
    </row>
    <row r="1720" spans="1:7" x14ac:dyDescent="0.2">
      <c r="A1720" s="12">
        <v>45194</v>
      </c>
      <c r="C1720" s="2" t="s">
        <v>1138</v>
      </c>
      <c r="D1720" s="1" t="s">
        <v>9</v>
      </c>
      <c r="F1720" s="3">
        <f>238021</f>
        <v>238021</v>
      </c>
      <c r="G1720" s="9">
        <f t="shared" si="36"/>
        <v>928132</v>
      </c>
    </row>
    <row r="1721" spans="1:7" x14ac:dyDescent="0.2">
      <c r="A1721" s="12">
        <v>45194</v>
      </c>
      <c r="C1721" s="2" t="s">
        <v>1139</v>
      </c>
      <c r="D1721" s="1" t="s">
        <v>9</v>
      </c>
      <c r="F1721" s="3">
        <f>164256+275</f>
        <v>164531</v>
      </c>
      <c r="G1721" s="9">
        <f t="shared" si="36"/>
        <v>763601</v>
      </c>
    </row>
    <row r="1722" spans="1:7" x14ac:dyDescent="0.2">
      <c r="A1722" s="12">
        <v>45194</v>
      </c>
      <c r="C1722" s="2" t="s">
        <v>1140</v>
      </c>
      <c r="D1722" s="1" t="s">
        <v>9</v>
      </c>
      <c r="F1722" s="3">
        <f>325000+275</f>
        <v>325275</v>
      </c>
      <c r="G1722" s="9">
        <f t="shared" si="36"/>
        <v>438326</v>
      </c>
    </row>
    <row r="1723" spans="1:7" x14ac:dyDescent="0.2">
      <c r="A1723" s="12">
        <v>45194</v>
      </c>
      <c r="C1723" s="2" t="s">
        <v>1141</v>
      </c>
      <c r="D1723" s="1" t="s">
        <v>9</v>
      </c>
      <c r="F1723" s="3">
        <f>417019+275</f>
        <v>417294</v>
      </c>
      <c r="G1723" s="9">
        <f t="shared" si="36"/>
        <v>21032</v>
      </c>
    </row>
    <row r="1724" spans="1:7" x14ac:dyDescent="0.2">
      <c r="A1724" s="12">
        <v>45194</v>
      </c>
      <c r="C1724" s="2" t="s">
        <v>1142</v>
      </c>
      <c r="D1724" s="1" t="s">
        <v>9</v>
      </c>
      <c r="F1724" s="3">
        <f>318071</f>
        <v>318071</v>
      </c>
      <c r="G1724" s="9">
        <f t="shared" si="36"/>
        <v>-297039</v>
      </c>
    </row>
    <row r="1725" spans="1:7" x14ac:dyDescent="0.2">
      <c r="A1725" s="12">
        <v>45194</v>
      </c>
      <c r="C1725" s="2" t="s">
        <v>1143</v>
      </c>
      <c r="D1725" s="1" t="s">
        <v>9</v>
      </c>
      <c r="F1725" s="3">
        <f>750000+275</f>
        <v>750275</v>
      </c>
      <c r="G1725" s="9">
        <f t="shared" si="36"/>
        <v>-1047314</v>
      </c>
    </row>
    <row r="1726" spans="1:7" x14ac:dyDescent="0.2">
      <c r="A1726" s="12">
        <v>45194</v>
      </c>
      <c r="C1726" s="2" t="s">
        <v>137</v>
      </c>
      <c r="D1726" s="1" t="s">
        <v>9</v>
      </c>
      <c r="E1726" s="3">
        <v>387553</v>
      </c>
      <c r="G1726" s="9">
        <f t="shared" si="36"/>
        <v>-659761</v>
      </c>
    </row>
    <row r="1727" spans="1:7" x14ac:dyDescent="0.2">
      <c r="A1727" s="12">
        <v>45194</v>
      </c>
      <c r="C1727" s="2" t="s">
        <v>27</v>
      </c>
      <c r="D1727" s="1" t="s">
        <v>9</v>
      </c>
      <c r="F1727" s="3">
        <v>150000</v>
      </c>
      <c r="G1727" s="9">
        <f t="shared" si="36"/>
        <v>-809761</v>
      </c>
    </row>
    <row r="1728" spans="1:7" x14ac:dyDescent="0.2">
      <c r="A1728" s="12">
        <v>45194</v>
      </c>
      <c r="C1728" s="39" t="s">
        <v>45</v>
      </c>
      <c r="D1728" s="1" t="s">
        <v>9</v>
      </c>
      <c r="E1728" s="3">
        <v>289625</v>
      </c>
      <c r="G1728" s="9">
        <f t="shared" si="36"/>
        <v>-520136</v>
      </c>
    </row>
    <row r="1729" spans="1:9" x14ac:dyDescent="0.2">
      <c r="A1729" s="40">
        <v>45197</v>
      </c>
      <c r="B1729" s="41"/>
      <c r="C1729" s="42" t="s">
        <v>1145</v>
      </c>
      <c r="D1729" s="41" t="s">
        <v>9</v>
      </c>
      <c r="E1729" s="43">
        <f>31860+3131366+27332+288815+107407+64384</f>
        <v>3651164</v>
      </c>
      <c r="F1729" s="38"/>
      <c r="G1729" s="9">
        <f t="shared" si="36"/>
        <v>3131028</v>
      </c>
    </row>
    <row r="1730" spans="1:9" x14ac:dyDescent="0.2">
      <c r="A1730" s="12">
        <v>45197</v>
      </c>
      <c r="C1730" s="2" t="s">
        <v>1146</v>
      </c>
      <c r="D1730" s="1" t="s">
        <v>9</v>
      </c>
      <c r="F1730" s="3">
        <v>90005</v>
      </c>
      <c r="G1730" s="9">
        <f t="shared" si="36"/>
        <v>3041023</v>
      </c>
    </row>
    <row r="1731" spans="1:9" x14ac:dyDescent="0.2">
      <c r="A1731" s="12">
        <v>45197</v>
      </c>
      <c r="C1731" s="2" t="s">
        <v>1147</v>
      </c>
      <c r="D1731" s="1" t="s">
        <v>9</v>
      </c>
      <c r="E1731" s="3">
        <v>975960</v>
      </c>
      <c r="G1731" s="9">
        <f t="shared" si="36"/>
        <v>4016983</v>
      </c>
    </row>
    <row r="1732" spans="1:9" x14ac:dyDescent="0.2">
      <c r="A1732" s="12">
        <v>45198</v>
      </c>
      <c r="C1732" s="2" t="s">
        <v>1148</v>
      </c>
      <c r="D1732" s="1" t="s">
        <v>9</v>
      </c>
      <c r="F1732" s="3">
        <f>1459767+54131</f>
        <v>1513898</v>
      </c>
      <c r="G1732" s="9">
        <f t="shared" si="36"/>
        <v>2503085</v>
      </c>
    </row>
    <row r="1733" spans="1:9" x14ac:dyDescent="0.2">
      <c r="A1733" s="12">
        <v>45198</v>
      </c>
      <c r="C1733" s="2" t="s">
        <v>1154</v>
      </c>
      <c r="D1733" s="1" t="s">
        <v>9</v>
      </c>
      <c r="E1733" s="3">
        <f>60567+40710+543744+208014</f>
        <v>853035</v>
      </c>
      <c r="G1733" s="9">
        <f t="shared" si="36"/>
        <v>3356120</v>
      </c>
    </row>
    <row r="1734" spans="1:9" x14ac:dyDescent="0.2">
      <c r="A1734" s="12">
        <v>45198</v>
      </c>
      <c r="B1734" s="1" t="s">
        <v>1149</v>
      </c>
      <c r="C1734" s="2" t="s">
        <v>724</v>
      </c>
      <c r="D1734" s="1" t="s">
        <v>9</v>
      </c>
      <c r="F1734" s="3">
        <v>600000</v>
      </c>
      <c r="G1734" s="9">
        <f t="shared" si="36"/>
        <v>2756120</v>
      </c>
    </row>
    <row r="1735" spans="1:9" x14ac:dyDescent="0.2">
      <c r="A1735" s="12">
        <v>45198</v>
      </c>
      <c r="B1735" s="1" t="s">
        <v>1150</v>
      </c>
      <c r="C1735" t="s">
        <v>1151</v>
      </c>
      <c r="D1735" s="1" t="s">
        <v>9</v>
      </c>
      <c r="F1735" s="3">
        <v>635000</v>
      </c>
      <c r="G1735" s="9">
        <f t="shared" ref="G1735:G1800" si="37">G1734+E1735-F1735</f>
        <v>2121120</v>
      </c>
    </row>
    <row r="1736" spans="1:9" s="28" customFormat="1" ht="15.75" x14ac:dyDescent="0.25">
      <c r="A1736" s="10" t="s">
        <v>1153</v>
      </c>
      <c r="B1736" s="1"/>
      <c r="C1736" s="2"/>
      <c r="D1736" s="1"/>
      <c r="E1736" s="3"/>
      <c r="F1736" s="3"/>
      <c r="G1736" s="9"/>
      <c r="H1736" s="27"/>
      <c r="I1736" s="26"/>
    </row>
    <row r="1737" spans="1:9" s="28" customFormat="1" x14ac:dyDescent="0.2">
      <c r="A1737" s="11" t="s">
        <v>2</v>
      </c>
      <c r="B1737" s="5" t="s">
        <v>1</v>
      </c>
      <c r="C1737" s="5" t="s">
        <v>3</v>
      </c>
      <c r="D1737" s="5"/>
      <c r="E1737" s="7" t="s">
        <v>4</v>
      </c>
      <c r="F1737" s="7" t="s">
        <v>6</v>
      </c>
      <c r="G1737" s="8" t="s">
        <v>5</v>
      </c>
      <c r="H1737" s="27"/>
      <c r="I1737" s="26"/>
    </row>
    <row r="1738" spans="1:9" x14ac:dyDescent="0.2">
      <c r="A1738" s="12">
        <v>45201</v>
      </c>
      <c r="C1738" s="2" t="s">
        <v>35</v>
      </c>
      <c r="D1738" s="1" t="s">
        <v>9</v>
      </c>
      <c r="F1738" s="3">
        <v>6600</v>
      </c>
      <c r="G1738" s="9">
        <f>G1735+E1738-F1738</f>
        <v>2114520</v>
      </c>
      <c r="I1738" s="24">
        <v>4192316</v>
      </c>
    </row>
    <row r="1739" spans="1:9" x14ac:dyDescent="0.2">
      <c r="A1739" s="12">
        <v>45201</v>
      </c>
      <c r="C1739" s="2" t="s">
        <v>61</v>
      </c>
      <c r="D1739" s="1" t="s">
        <v>9</v>
      </c>
      <c r="E1739" s="3">
        <v>144945</v>
      </c>
      <c r="G1739" s="9">
        <f t="shared" si="37"/>
        <v>2259465</v>
      </c>
      <c r="I1739" s="29">
        <f>I1738-F1734-F1732+E1686</f>
        <v>2259465</v>
      </c>
    </row>
    <row r="1740" spans="1:9" x14ac:dyDescent="0.2">
      <c r="A1740" s="12">
        <v>45202</v>
      </c>
      <c r="C1740" s="18" t="s">
        <v>1152</v>
      </c>
      <c r="D1740" s="1" t="s">
        <v>9</v>
      </c>
      <c r="F1740" s="3">
        <v>3403775</v>
      </c>
      <c r="G1740" s="9">
        <f t="shared" si="37"/>
        <v>-1144310</v>
      </c>
    </row>
    <row r="1741" spans="1:9" x14ac:dyDescent="0.2">
      <c r="A1741" s="12">
        <v>45202</v>
      </c>
      <c r="C1741" s="2" t="s">
        <v>34</v>
      </c>
      <c r="D1741" s="1" t="s">
        <v>9</v>
      </c>
      <c r="F1741" s="3">
        <v>275</v>
      </c>
      <c r="G1741" s="9">
        <f t="shared" si="37"/>
        <v>-1144585</v>
      </c>
    </row>
    <row r="1742" spans="1:9" x14ac:dyDescent="0.2">
      <c r="A1742" s="12">
        <v>45202</v>
      </c>
      <c r="C1742" s="18" t="s">
        <v>1152</v>
      </c>
      <c r="D1742" s="1" t="s">
        <v>9</v>
      </c>
      <c r="F1742" s="3">
        <v>1000000</v>
      </c>
      <c r="G1742" s="9">
        <f t="shared" si="37"/>
        <v>-2144585</v>
      </c>
    </row>
    <row r="1743" spans="1:9" x14ac:dyDescent="0.2">
      <c r="A1743" s="12">
        <v>45202</v>
      </c>
      <c r="C1743" s="2" t="s">
        <v>34</v>
      </c>
      <c r="D1743" s="1" t="s">
        <v>9</v>
      </c>
      <c r="F1743" s="3">
        <v>138</v>
      </c>
      <c r="G1743" s="9">
        <f t="shared" si="37"/>
        <v>-2144723</v>
      </c>
    </row>
    <row r="1744" spans="1:9" x14ac:dyDescent="0.2">
      <c r="A1744" s="12">
        <v>45202</v>
      </c>
      <c r="C1744" s="2" t="s">
        <v>496</v>
      </c>
      <c r="D1744" s="1" t="s">
        <v>9</v>
      </c>
      <c r="E1744" s="3">
        <v>2059942</v>
      </c>
      <c r="G1744" s="9">
        <f t="shared" si="37"/>
        <v>-84781</v>
      </c>
    </row>
    <row r="1745" spans="1:9" x14ac:dyDescent="0.2">
      <c r="A1745" s="12">
        <v>45203</v>
      </c>
      <c r="C1745" s="2" t="s">
        <v>1155</v>
      </c>
      <c r="D1745" s="1" t="s">
        <v>9</v>
      </c>
      <c r="E1745" s="3">
        <f>553618+64192+107823+510981</f>
        <v>1236614</v>
      </c>
      <c r="G1745" s="9">
        <f t="shared" si="37"/>
        <v>1151833</v>
      </c>
    </row>
    <row r="1746" spans="1:9" x14ac:dyDescent="0.2">
      <c r="A1746" s="12">
        <v>45203</v>
      </c>
      <c r="C1746" s="2" t="s">
        <v>1156</v>
      </c>
      <c r="D1746" s="1" t="s">
        <v>9</v>
      </c>
      <c r="E1746" s="3">
        <v>2373098</v>
      </c>
      <c r="G1746" s="9">
        <f t="shared" si="37"/>
        <v>3524931</v>
      </c>
    </row>
    <row r="1747" spans="1:9" x14ac:dyDescent="0.2">
      <c r="A1747" s="12">
        <v>45203</v>
      </c>
      <c r="C1747" s="2" t="s">
        <v>906</v>
      </c>
      <c r="D1747" s="1" t="s">
        <v>9</v>
      </c>
      <c r="E1747" s="3">
        <v>206592</v>
      </c>
      <c r="G1747" s="9">
        <f t="shared" si="37"/>
        <v>3731523</v>
      </c>
    </row>
    <row r="1748" spans="1:9" x14ac:dyDescent="0.2">
      <c r="A1748" s="12">
        <v>45204</v>
      </c>
      <c r="C1748" s="2" t="s">
        <v>1157</v>
      </c>
      <c r="D1748" s="1" t="s">
        <v>9</v>
      </c>
      <c r="E1748" s="3">
        <f>2040248+181896+146244+236000</f>
        <v>2604388</v>
      </c>
      <c r="G1748" s="9">
        <f t="shared" si="37"/>
        <v>6335911</v>
      </c>
    </row>
    <row r="1749" spans="1:9" x14ac:dyDescent="0.2">
      <c r="A1749" s="12">
        <v>45204</v>
      </c>
      <c r="C1749" s="2" t="s">
        <v>701</v>
      </c>
      <c r="D1749" s="1" t="s">
        <v>9</v>
      </c>
      <c r="E1749" s="3">
        <v>249747</v>
      </c>
      <c r="G1749" s="9">
        <f t="shared" si="37"/>
        <v>6585658</v>
      </c>
    </row>
    <row r="1750" spans="1:9" x14ac:dyDescent="0.2">
      <c r="A1750" s="12">
        <v>45208</v>
      </c>
      <c r="C1750" s="2" t="s">
        <v>1158</v>
      </c>
      <c r="D1750" s="1" t="s">
        <v>9</v>
      </c>
      <c r="E1750" s="3">
        <f>59921+70835+162500+1225911+581429</f>
        <v>2100596</v>
      </c>
      <c r="G1750" s="9">
        <f t="shared" si="37"/>
        <v>8686254</v>
      </c>
    </row>
    <row r="1751" spans="1:9" x14ac:dyDescent="0.2">
      <c r="A1751" s="12">
        <v>45208</v>
      </c>
      <c r="C1751" s="2" t="s">
        <v>61</v>
      </c>
      <c r="D1751" s="1" t="s">
        <v>9</v>
      </c>
      <c r="E1751" s="3">
        <v>191573</v>
      </c>
      <c r="G1751" s="9">
        <f t="shared" si="37"/>
        <v>8877827</v>
      </c>
    </row>
    <row r="1752" spans="1:9" x14ac:dyDescent="0.2">
      <c r="A1752" s="12">
        <v>45209</v>
      </c>
      <c r="C1752" s="2" t="s">
        <v>137</v>
      </c>
      <c r="D1752" s="1" t="s">
        <v>9</v>
      </c>
      <c r="E1752" s="3">
        <v>347540</v>
      </c>
      <c r="G1752" s="9">
        <f t="shared" si="37"/>
        <v>9225367</v>
      </c>
    </row>
    <row r="1753" spans="1:9" s="28" customFormat="1" x14ac:dyDescent="0.2">
      <c r="A1753" s="20">
        <v>45211</v>
      </c>
      <c r="B1753" s="21" t="s">
        <v>1161</v>
      </c>
      <c r="C1753" s="22" t="s">
        <v>1167</v>
      </c>
      <c r="D1753" s="21" t="s">
        <v>9</v>
      </c>
      <c r="E1753" s="23"/>
      <c r="F1753" s="23">
        <v>390000</v>
      </c>
      <c r="G1753" s="26">
        <f t="shared" si="37"/>
        <v>8835367</v>
      </c>
      <c r="H1753" s="27"/>
      <c r="I1753" s="26"/>
    </row>
    <row r="1754" spans="1:9" x14ac:dyDescent="0.2">
      <c r="A1754" s="12">
        <v>45212</v>
      </c>
      <c r="C1754" s="2" t="s">
        <v>1160</v>
      </c>
      <c r="D1754" s="1" t="s">
        <v>9</v>
      </c>
      <c r="E1754" s="3">
        <f>520474+332500+121340+1130381+589242+59000</f>
        <v>2752937</v>
      </c>
      <c r="G1754" s="9">
        <f t="shared" si="37"/>
        <v>11588304</v>
      </c>
    </row>
    <row r="1755" spans="1:9" x14ac:dyDescent="0.2">
      <c r="A1755" s="12">
        <v>45214</v>
      </c>
      <c r="C1755" s="22" t="s">
        <v>1117</v>
      </c>
      <c r="D1755" s="1" t="s">
        <v>9</v>
      </c>
      <c r="F1755" s="3">
        <v>7500</v>
      </c>
      <c r="G1755" s="9">
        <f t="shared" si="37"/>
        <v>11580804</v>
      </c>
    </row>
    <row r="1756" spans="1:9" x14ac:dyDescent="0.2">
      <c r="A1756" s="12">
        <v>45214</v>
      </c>
      <c r="C1756" s="22" t="s">
        <v>711</v>
      </c>
      <c r="D1756" s="1" t="s">
        <v>9</v>
      </c>
      <c r="F1756" s="3">
        <v>20345</v>
      </c>
      <c r="G1756" s="9">
        <f t="shared" si="37"/>
        <v>11560459</v>
      </c>
    </row>
    <row r="1757" spans="1:9" x14ac:dyDescent="0.2">
      <c r="A1757" s="12">
        <v>45215</v>
      </c>
      <c r="C1757" s="22" t="s">
        <v>1159</v>
      </c>
      <c r="D1757" s="1" t="s">
        <v>9</v>
      </c>
      <c r="F1757" s="3">
        <v>3029686</v>
      </c>
      <c r="G1757" s="9">
        <f t="shared" si="37"/>
        <v>8530773</v>
      </c>
    </row>
    <row r="1758" spans="1:9" x14ac:dyDescent="0.2">
      <c r="A1758" s="12">
        <v>45215</v>
      </c>
      <c r="C1758" s="2" t="s">
        <v>528</v>
      </c>
      <c r="D1758" s="1" t="s">
        <v>9</v>
      </c>
      <c r="F1758" s="3">
        <v>5000</v>
      </c>
      <c r="G1758" s="9">
        <f t="shared" si="37"/>
        <v>8525773</v>
      </c>
    </row>
    <row r="1759" spans="1:9" x14ac:dyDescent="0.2">
      <c r="A1759" s="12">
        <v>45215</v>
      </c>
      <c r="C1759" s="2" t="s">
        <v>528</v>
      </c>
      <c r="D1759" s="1" t="s">
        <v>9</v>
      </c>
      <c r="F1759" s="3">
        <v>5000</v>
      </c>
      <c r="G1759" s="9">
        <f t="shared" si="37"/>
        <v>8520773</v>
      </c>
    </row>
    <row r="1760" spans="1:9" x14ac:dyDescent="0.2">
      <c r="A1760" s="12">
        <v>45215</v>
      </c>
      <c r="C1760" s="2" t="s">
        <v>528</v>
      </c>
      <c r="D1760" s="1" t="s">
        <v>9</v>
      </c>
      <c r="F1760" s="3">
        <v>5000</v>
      </c>
      <c r="G1760" s="9">
        <f t="shared" si="37"/>
        <v>8515773</v>
      </c>
    </row>
    <row r="1761" spans="1:9" x14ac:dyDescent="0.2">
      <c r="A1761" s="12">
        <v>45215</v>
      </c>
      <c r="C1761" s="2" t="s">
        <v>137</v>
      </c>
      <c r="D1761" s="1" t="s">
        <v>9</v>
      </c>
      <c r="E1761" s="3">
        <v>24072</v>
      </c>
      <c r="G1761" s="9">
        <f t="shared" si="37"/>
        <v>8539845</v>
      </c>
    </row>
    <row r="1762" spans="1:9" x14ac:dyDescent="0.2">
      <c r="A1762" s="12">
        <v>45216</v>
      </c>
      <c r="C1762" s="2" t="s">
        <v>1162</v>
      </c>
      <c r="D1762" s="1" t="s">
        <v>9</v>
      </c>
      <c r="F1762" s="3">
        <f>700000+275</f>
        <v>700275</v>
      </c>
      <c r="G1762" s="9">
        <f t="shared" si="37"/>
        <v>7839570</v>
      </c>
    </row>
    <row r="1763" spans="1:9" x14ac:dyDescent="0.2">
      <c r="A1763" s="12">
        <v>45216</v>
      </c>
      <c r="C1763" s="2" t="s">
        <v>1163</v>
      </c>
      <c r="D1763" s="1" t="s">
        <v>9</v>
      </c>
      <c r="F1763" s="3">
        <f>271742+275</f>
        <v>272017</v>
      </c>
      <c r="G1763" s="9">
        <f t="shared" si="37"/>
        <v>7567553</v>
      </c>
    </row>
    <row r="1764" spans="1:9" x14ac:dyDescent="0.2">
      <c r="A1764" s="12">
        <v>45216</v>
      </c>
      <c r="C1764" s="2" t="s">
        <v>1164</v>
      </c>
      <c r="D1764" s="1" t="s">
        <v>9</v>
      </c>
      <c r="F1764" s="3">
        <f>37276</f>
        <v>37276</v>
      </c>
      <c r="G1764" s="9">
        <f t="shared" si="37"/>
        <v>7530277</v>
      </c>
    </row>
    <row r="1765" spans="1:9" x14ac:dyDescent="0.2">
      <c r="A1765" s="12">
        <v>45216</v>
      </c>
      <c r="C1765" s="2" t="s">
        <v>1165</v>
      </c>
      <c r="D1765" s="1" t="s">
        <v>9</v>
      </c>
      <c r="F1765" s="3">
        <f>306160</f>
        <v>306160</v>
      </c>
      <c r="G1765" s="9">
        <f t="shared" si="37"/>
        <v>7224117</v>
      </c>
    </row>
    <row r="1766" spans="1:9" x14ac:dyDescent="0.2">
      <c r="A1766" s="12">
        <v>45216</v>
      </c>
      <c r="C1766" s="2" t="s">
        <v>1166</v>
      </c>
      <c r="D1766" s="1" t="s">
        <v>9</v>
      </c>
      <c r="F1766" s="3">
        <f>259267+275</f>
        <v>259542</v>
      </c>
      <c r="G1766" s="9">
        <f t="shared" si="37"/>
        <v>6964575</v>
      </c>
    </row>
    <row r="1767" spans="1:9" x14ac:dyDescent="0.2">
      <c r="A1767" s="12">
        <v>45216</v>
      </c>
      <c r="C1767" s="2" t="s">
        <v>1143</v>
      </c>
      <c r="D1767" s="1" t="s">
        <v>9</v>
      </c>
      <c r="F1767" s="3">
        <f>750000</f>
        <v>750000</v>
      </c>
      <c r="G1767" s="9">
        <f t="shared" si="37"/>
        <v>6214575</v>
      </c>
    </row>
    <row r="1768" spans="1:9" x14ac:dyDescent="0.2">
      <c r="A1768" s="12">
        <v>45217</v>
      </c>
      <c r="B1768" s="21" t="s">
        <v>1168</v>
      </c>
      <c r="C1768" s="2" t="s">
        <v>1170</v>
      </c>
      <c r="D1768" s="1" t="s">
        <v>9</v>
      </c>
      <c r="F1768" s="3">
        <v>1996273</v>
      </c>
      <c r="G1768" s="9">
        <f t="shared" si="37"/>
        <v>4218302</v>
      </c>
    </row>
    <row r="1769" spans="1:9" x14ac:dyDescent="0.2">
      <c r="A1769" s="12">
        <v>45217</v>
      </c>
      <c r="B1769" s="1" t="s">
        <v>1179</v>
      </c>
      <c r="C1769" s="2" t="s">
        <v>261</v>
      </c>
      <c r="D1769" s="1" t="s">
        <v>9</v>
      </c>
      <c r="G1769" s="9">
        <f t="shared" si="37"/>
        <v>4218302</v>
      </c>
    </row>
    <row r="1770" spans="1:9" x14ac:dyDescent="0.2">
      <c r="A1770" s="12">
        <v>45217</v>
      </c>
      <c r="B1770" s="21" t="s">
        <v>1169</v>
      </c>
      <c r="C1770" s="2" t="s">
        <v>1172</v>
      </c>
      <c r="D1770" s="1" t="s">
        <v>9</v>
      </c>
      <c r="F1770" s="3">
        <v>1591150</v>
      </c>
      <c r="G1770" s="9">
        <f t="shared" si="37"/>
        <v>2627152</v>
      </c>
    </row>
    <row r="1771" spans="1:9" x14ac:dyDescent="0.2">
      <c r="A1771" s="12">
        <v>45217</v>
      </c>
      <c r="B1771" s="21" t="s">
        <v>1175</v>
      </c>
      <c r="C1771" s="2" t="s">
        <v>1171</v>
      </c>
      <c r="D1771" s="1" t="s">
        <v>9</v>
      </c>
      <c r="F1771" s="3">
        <v>144000</v>
      </c>
      <c r="G1771" s="9">
        <f t="shared" si="37"/>
        <v>2483152</v>
      </c>
    </row>
    <row r="1772" spans="1:9" x14ac:dyDescent="0.2">
      <c r="A1772" s="12">
        <v>45218</v>
      </c>
      <c r="C1772" s="18" t="s">
        <v>1173</v>
      </c>
      <c r="D1772" s="1" t="s">
        <v>9</v>
      </c>
      <c r="F1772" s="3">
        <f>2446631</f>
        <v>2446631</v>
      </c>
      <c r="G1772" s="9">
        <f t="shared" si="37"/>
        <v>36521</v>
      </c>
    </row>
    <row r="1773" spans="1:9" x14ac:dyDescent="0.2">
      <c r="A1773" s="12">
        <v>45218</v>
      </c>
      <c r="C1773" s="2" t="s">
        <v>1174</v>
      </c>
      <c r="D1773" s="1" t="s">
        <v>9</v>
      </c>
      <c r="E1773" s="3">
        <f>47578+127869+40120+846334+423153+46622+306281+52130</f>
        <v>1890087</v>
      </c>
      <c r="G1773" s="9">
        <f t="shared" si="37"/>
        <v>1926608</v>
      </c>
    </row>
    <row r="1774" spans="1:9" x14ac:dyDescent="0.2">
      <c r="A1774" s="12">
        <v>45219</v>
      </c>
      <c r="B1774" s="1" t="s">
        <v>1176</v>
      </c>
      <c r="C1774" s="2" t="s">
        <v>1177</v>
      </c>
      <c r="D1774" s="1" t="s">
        <v>9</v>
      </c>
      <c r="F1774" s="3">
        <v>246299</v>
      </c>
      <c r="G1774" s="9">
        <f t="shared" si="37"/>
        <v>1680309</v>
      </c>
    </row>
    <row r="1775" spans="1:9" s="28" customFormat="1" x14ac:dyDescent="0.2">
      <c r="A1775" s="20">
        <v>45219</v>
      </c>
      <c r="B1775" s="21" t="s">
        <v>1178</v>
      </c>
      <c r="C1775" s="22" t="s">
        <v>1180</v>
      </c>
      <c r="D1775" s="21" t="s">
        <v>9</v>
      </c>
      <c r="E1775" s="23"/>
      <c r="F1775" s="23">
        <v>462000</v>
      </c>
      <c r="G1775" s="26">
        <f t="shared" si="37"/>
        <v>1218309</v>
      </c>
      <c r="H1775" s="27"/>
      <c r="I1775" s="26"/>
    </row>
    <row r="1776" spans="1:9" x14ac:dyDescent="0.2">
      <c r="A1776" s="12">
        <v>45222</v>
      </c>
      <c r="C1776" s="2" t="s">
        <v>137</v>
      </c>
      <c r="D1776" s="1" t="s">
        <v>9</v>
      </c>
      <c r="E1776" s="3">
        <v>135700</v>
      </c>
      <c r="G1776" s="9">
        <f t="shared" si="37"/>
        <v>1354009</v>
      </c>
    </row>
    <row r="1777" spans="1:9" x14ac:dyDescent="0.2">
      <c r="A1777" s="12">
        <v>45224</v>
      </c>
      <c r="C1777" s="2" t="s">
        <v>27</v>
      </c>
      <c r="D1777" s="1" t="s">
        <v>9</v>
      </c>
      <c r="F1777" s="3">
        <v>150000</v>
      </c>
      <c r="G1777" s="9">
        <f t="shared" si="37"/>
        <v>1204009</v>
      </c>
    </row>
    <row r="1778" spans="1:9" x14ac:dyDescent="0.2">
      <c r="A1778" s="12">
        <v>45224</v>
      </c>
      <c r="C1778" s="2" t="s">
        <v>1093</v>
      </c>
      <c r="D1778" s="1" t="s">
        <v>9</v>
      </c>
      <c r="E1778" s="3">
        <v>17051</v>
      </c>
      <c r="G1778" s="9">
        <f t="shared" si="37"/>
        <v>1221060</v>
      </c>
    </row>
    <row r="1779" spans="1:9" x14ac:dyDescent="0.2">
      <c r="A1779" s="12">
        <v>45226</v>
      </c>
      <c r="C1779" s="2" t="s">
        <v>1186</v>
      </c>
      <c r="D1779" s="1" t="s">
        <v>9</v>
      </c>
      <c r="E1779" s="3">
        <f>49088+32023+170510+321477+255190+658269+495600</f>
        <v>1982157</v>
      </c>
      <c r="G1779" s="9">
        <f t="shared" si="37"/>
        <v>3203217</v>
      </c>
    </row>
    <row r="1780" spans="1:9" x14ac:dyDescent="0.2">
      <c r="A1780" s="12">
        <v>45229</v>
      </c>
      <c r="C1780" s="18" t="s">
        <v>1181</v>
      </c>
      <c r="D1780" s="1" t="s">
        <v>9</v>
      </c>
      <c r="F1780" s="3">
        <v>3241192</v>
      </c>
      <c r="G1780" s="9">
        <f t="shared" si="37"/>
        <v>-37975</v>
      </c>
    </row>
    <row r="1781" spans="1:9" x14ac:dyDescent="0.2">
      <c r="A1781" s="12">
        <v>45229</v>
      </c>
      <c r="C1781" s="2" t="s">
        <v>34</v>
      </c>
      <c r="D1781" s="1" t="s">
        <v>9</v>
      </c>
      <c r="F1781" s="3">
        <v>275</v>
      </c>
      <c r="G1781" s="9">
        <f t="shared" si="37"/>
        <v>-38250</v>
      </c>
    </row>
    <row r="1782" spans="1:9" x14ac:dyDescent="0.2">
      <c r="A1782" s="12">
        <v>45229</v>
      </c>
      <c r="C1782" s="18" t="s">
        <v>1181</v>
      </c>
      <c r="D1782" s="1" t="s">
        <v>9</v>
      </c>
      <c r="F1782" s="3">
        <v>1000000</v>
      </c>
      <c r="G1782" s="9">
        <f t="shared" si="37"/>
        <v>-1038250</v>
      </c>
    </row>
    <row r="1783" spans="1:9" x14ac:dyDescent="0.2">
      <c r="A1783" s="12">
        <v>45229</v>
      </c>
      <c r="C1783" s="2" t="s">
        <v>34</v>
      </c>
      <c r="D1783" s="1" t="s">
        <v>9</v>
      </c>
      <c r="F1783" s="3">
        <v>138</v>
      </c>
      <c r="G1783" s="9">
        <f t="shared" si="37"/>
        <v>-1038388</v>
      </c>
    </row>
    <row r="1784" spans="1:9" x14ac:dyDescent="0.2">
      <c r="A1784" s="12">
        <v>45229</v>
      </c>
      <c r="C1784" s="2" t="s">
        <v>61</v>
      </c>
      <c r="D1784" s="1" t="s">
        <v>9</v>
      </c>
      <c r="E1784" s="3">
        <v>1591912</v>
      </c>
      <c r="G1784" s="9">
        <f t="shared" si="37"/>
        <v>553524</v>
      </c>
    </row>
    <row r="1785" spans="1:9" x14ac:dyDescent="0.2">
      <c r="A1785" s="12">
        <v>45230</v>
      </c>
      <c r="C1785" s="2" t="s">
        <v>35</v>
      </c>
      <c r="D1785" s="1" t="s">
        <v>9</v>
      </c>
      <c r="F1785" s="3">
        <v>6600</v>
      </c>
      <c r="G1785" s="9">
        <f t="shared" si="37"/>
        <v>546924</v>
      </c>
      <c r="I1785" s="24">
        <v>479253</v>
      </c>
    </row>
    <row r="1786" spans="1:9" x14ac:dyDescent="0.2">
      <c r="A1786" s="12">
        <v>45230</v>
      </c>
      <c r="C1786" s="2" t="s">
        <v>906</v>
      </c>
      <c r="D1786" s="1" t="s">
        <v>9</v>
      </c>
      <c r="E1786" s="3">
        <v>35371</v>
      </c>
      <c r="G1786" s="9">
        <f t="shared" si="37"/>
        <v>582295</v>
      </c>
      <c r="I1786" s="29">
        <f>I1785-F1771+E1686</f>
        <v>516300</v>
      </c>
    </row>
    <row r="1787" spans="1:9" x14ac:dyDescent="0.2">
      <c r="A1787" s="12">
        <v>45230</v>
      </c>
      <c r="C1787" s="2" t="s">
        <v>1182</v>
      </c>
      <c r="D1787" s="1" t="s">
        <v>9</v>
      </c>
      <c r="F1787" s="3">
        <v>65995</v>
      </c>
      <c r="G1787" s="9">
        <f t="shared" si="37"/>
        <v>516300</v>
      </c>
      <c r="I1787" s="29"/>
    </row>
    <row r="1788" spans="1:9" s="28" customFormat="1" ht="15.75" x14ac:dyDescent="0.25">
      <c r="A1788" s="10" t="s">
        <v>1183</v>
      </c>
      <c r="B1788" s="1"/>
      <c r="C1788" s="2"/>
      <c r="D1788" s="1"/>
      <c r="E1788" s="3"/>
      <c r="F1788" s="3"/>
      <c r="G1788" s="9"/>
      <c r="H1788" s="27"/>
      <c r="I1788" s="26"/>
    </row>
    <row r="1789" spans="1:9" s="28" customFormat="1" x14ac:dyDescent="0.2">
      <c r="A1789" s="11" t="s">
        <v>2</v>
      </c>
      <c r="B1789" s="5" t="s">
        <v>1</v>
      </c>
      <c r="C1789" s="5" t="s">
        <v>3</v>
      </c>
      <c r="D1789" s="5"/>
      <c r="E1789" s="7" t="s">
        <v>4</v>
      </c>
      <c r="F1789" s="7" t="s">
        <v>6</v>
      </c>
      <c r="G1789" s="8" t="s">
        <v>5</v>
      </c>
      <c r="H1789" s="27"/>
      <c r="I1789" s="26"/>
    </row>
    <row r="1790" spans="1:9" x14ac:dyDescent="0.2">
      <c r="A1790" s="12">
        <v>45232</v>
      </c>
      <c r="C1790" s="2" t="s">
        <v>943</v>
      </c>
      <c r="D1790" s="1" t="s">
        <v>9</v>
      </c>
      <c r="E1790" s="3">
        <v>612833</v>
      </c>
      <c r="G1790" s="9">
        <f>G1787+E1790-F1790</f>
        <v>1129133</v>
      </c>
    </row>
    <row r="1791" spans="1:9" x14ac:dyDescent="0.2">
      <c r="A1791" s="12">
        <v>45232</v>
      </c>
      <c r="B1791" s="1" t="s">
        <v>1185</v>
      </c>
      <c r="C1791" s="2" t="s">
        <v>154</v>
      </c>
      <c r="D1791" s="1" t="s">
        <v>9</v>
      </c>
      <c r="F1791" s="3">
        <v>242340</v>
      </c>
      <c r="G1791" s="9">
        <f t="shared" si="37"/>
        <v>886793</v>
      </c>
    </row>
    <row r="1792" spans="1:9" x14ac:dyDescent="0.2">
      <c r="A1792" s="12">
        <v>45233</v>
      </c>
      <c r="B1792" s="1" t="s">
        <v>1184</v>
      </c>
      <c r="C1792" s="2" t="s">
        <v>1187</v>
      </c>
      <c r="D1792" s="1" t="s">
        <v>9</v>
      </c>
      <c r="F1792" s="3">
        <v>314787</v>
      </c>
      <c r="G1792" s="9">
        <f t="shared" si="37"/>
        <v>572006</v>
      </c>
    </row>
    <row r="1793" spans="1:7" x14ac:dyDescent="0.2">
      <c r="A1793" s="12">
        <v>13</v>
      </c>
      <c r="C1793" s="2" t="s">
        <v>1203</v>
      </c>
      <c r="D1793" s="1" t="s">
        <v>9</v>
      </c>
      <c r="F1793" s="3">
        <v>1383075</v>
      </c>
      <c r="G1793" s="9">
        <f t="shared" si="37"/>
        <v>-811069</v>
      </c>
    </row>
    <row r="1794" spans="1:7" x14ac:dyDescent="0.2">
      <c r="A1794" s="12">
        <v>45233</v>
      </c>
      <c r="C1794" s="2" t="s">
        <v>1190</v>
      </c>
      <c r="D1794" s="1" t="s">
        <v>9</v>
      </c>
      <c r="E1794" s="3">
        <f>111864+149777+160480+418065</f>
        <v>840186</v>
      </c>
      <c r="G1794" s="9">
        <f t="shared" si="37"/>
        <v>29117</v>
      </c>
    </row>
    <row r="1795" spans="1:7" x14ac:dyDescent="0.2">
      <c r="A1795" s="12">
        <v>45233</v>
      </c>
      <c r="C1795" s="2" t="s">
        <v>1188</v>
      </c>
      <c r="D1795" s="1" t="s">
        <v>9</v>
      </c>
      <c r="E1795" s="3">
        <v>691480</v>
      </c>
      <c r="G1795" s="9">
        <f t="shared" si="37"/>
        <v>720597</v>
      </c>
    </row>
    <row r="1796" spans="1:7" x14ac:dyDescent="0.2">
      <c r="A1796" s="12">
        <v>45236</v>
      </c>
      <c r="C1796" s="2" t="s">
        <v>1189</v>
      </c>
      <c r="D1796" s="1" t="s">
        <v>9</v>
      </c>
      <c r="E1796" s="3">
        <v>821138</v>
      </c>
      <c r="G1796" s="9">
        <f t="shared" si="37"/>
        <v>1541735</v>
      </c>
    </row>
    <row r="1797" spans="1:7" x14ac:dyDescent="0.2">
      <c r="A1797" s="12">
        <v>45237</v>
      </c>
      <c r="C1797" s="2" t="s">
        <v>61</v>
      </c>
      <c r="D1797" s="1" t="s">
        <v>9</v>
      </c>
      <c r="E1797" s="3">
        <v>277610</v>
      </c>
      <c r="G1797" s="9">
        <f t="shared" si="37"/>
        <v>1819345</v>
      </c>
    </row>
    <row r="1798" spans="1:7" x14ac:dyDescent="0.2">
      <c r="A1798" s="12">
        <v>45237</v>
      </c>
      <c r="C1798" s="2" t="s">
        <v>137</v>
      </c>
      <c r="D1798" s="1" t="s">
        <v>9</v>
      </c>
      <c r="E1798" s="3">
        <v>335445</v>
      </c>
      <c r="G1798" s="9">
        <f t="shared" si="37"/>
        <v>2154790</v>
      </c>
    </row>
    <row r="1799" spans="1:7" x14ac:dyDescent="0.2">
      <c r="A1799" s="12">
        <v>45237</v>
      </c>
      <c r="C1799" s="2" t="s">
        <v>999</v>
      </c>
      <c r="D1799" s="1" t="s">
        <v>9</v>
      </c>
      <c r="E1799" s="3">
        <v>39870</v>
      </c>
      <c r="G1799" s="9">
        <f t="shared" si="37"/>
        <v>2194660</v>
      </c>
    </row>
    <row r="1800" spans="1:7" x14ac:dyDescent="0.2">
      <c r="A1800" s="12">
        <v>45238</v>
      </c>
      <c r="C1800" s="18" t="s">
        <v>1191</v>
      </c>
      <c r="D1800" s="1" t="s">
        <v>9</v>
      </c>
      <c r="F1800" s="3">
        <f>3419145</f>
        <v>3419145</v>
      </c>
      <c r="G1800" s="9">
        <f t="shared" si="37"/>
        <v>-1224485</v>
      </c>
    </row>
    <row r="1801" spans="1:7" x14ac:dyDescent="0.2">
      <c r="A1801" s="12">
        <v>45238</v>
      </c>
      <c r="B1801" s="1" t="s">
        <v>1193</v>
      </c>
      <c r="C1801" s="22" t="s">
        <v>1192</v>
      </c>
      <c r="D1801" s="1" t="s">
        <v>9</v>
      </c>
      <c r="F1801" s="3">
        <v>1591150</v>
      </c>
      <c r="G1801" s="9">
        <f t="shared" ref="G1801:G1864" si="38">G1800+E1801-F1801</f>
        <v>-2815635</v>
      </c>
    </row>
    <row r="1802" spans="1:7" x14ac:dyDescent="0.2">
      <c r="A1802" s="12">
        <v>45238</v>
      </c>
      <c r="C1802" s="2" t="s">
        <v>1194</v>
      </c>
      <c r="D1802" s="1" t="s">
        <v>9</v>
      </c>
      <c r="E1802" s="3">
        <f>486487+635757+1383075+62847</f>
        <v>2568166</v>
      </c>
      <c r="G1802" s="9">
        <f t="shared" si="38"/>
        <v>-247469</v>
      </c>
    </row>
    <row r="1803" spans="1:7" x14ac:dyDescent="0.2">
      <c r="A1803" s="12">
        <v>45238</v>
      </c>
      <c r="C1803" s="2" t="s">
        <v>258</v>
      </c>
      <c r="D1803" s="1" t="s">
        <v>9</v>
      </c>
      <c r="E1803" s="3">
        <v>611320</v>
      </c>
      <c r="G1803" s="9">
        <f t="shared" si="38"/>
        <v>363851</v>
      </c>
    </row>
    <row r="1804" spans="1:7" x14ac:dyDescent="0.2">
      <c r="A1804" s="12">
        <v>45238</v>
      </c>
      <c r="C1804" s="2" t="s">
        <v>1195</v>
      </c>
      <c r="D1804" s="1" t="s">
        <v>9</v>
      </c>
      <c r="F1804" s="3">
        <v>44100</v>
      </c>
      <c r="G1804" s="9">
        <f t="shared" si="38"/>
        <v>319751</v>
      </c>
    </row>
    <row r="1805" spans="1:7" x14ac:dyDescent="0.2">
      <c r="A1805" s="12">
        <v>45239</v>
      </c>
      <c r="C1805" s="2" t="s">
        <v>783</v>
      </c>
      <c r="D1805" s="1" t="s">
        <v>9</v>
      </c>
      <c r="E1805" s="3">
        <v>761177</v>
      </c>
      <c r="G1805" s="9">
        <f t="shared" si="38"/>
        <v>1080928</v>
      </c>
    </row>
    <row r="1806" spans="1:7" x14ac:dyDescent="0.2">
      <c r="A1806" s="12">
        <v>45239</v>
      </c>
      <c r="C1806" s="2" t="s">
        <v>61</v>
      </c>
      <c r="D1806" s="1" t="s">
        <v>9</v>
      </c>
      <c r="E1806" s="3">
        <v>6809435</v>
      </c>
      <c r="G1806" s="9">
        <f t="shared" si="38"/>
        <v>7890363</v>
      </c>
    </row>
    <row r="1807" spans="1:7" x14ac:dyDescent="0.2">
      <c r="A1807" s="12">
        <v>45240</v>
      </c>
      <c r="B1807" s="1" t="s">
        <v>1199</v>
      </c>
      <c r="C1807" s="22" t="s">
        <v>150</v>
      </c>
      <c r="D1807" s="1" t="s">
        <v>9</v>
      </c>
      <c r="F1807" s="3">
        <v>450000</v>
      </c>
      <c r="G1807" s="9">
        <f t="shared" si="38"/>
        <v>7440363</v>
      </c>
    </row>
    <row r="1808" spans="1:7" x14ac:dyDescent="0.2">
      <c r="A1808" s="12">
        <v>45240</v>
      </c>
      <c r="B1808" s="1" t="s">
        <v>1200</v>
      </c>
      <c r="C1808" s="22" t="s">
        <v>832</v>
      </c>
      <c r="D1808" s="1" t="s">
        <v>9</v>
      </c>
      <c r="F1808" s="3">
        <v>410100</v>
      </c>
      <c r="G1808" s="9">
        <f t="shared" si="38"/>
        <v>7030263</v>
      </c>
    </row>
    <row r="1809" spans="1:7" x14ac:dyDescent="0.2">
      <c r="A1809" s="12">
        <v>45243</v>
      </c>
      <c r="C1809" s="2" t="s">
        <v>1201</v>
      </c>
      <c r="D1809" s="1" t="s">
        <v>9</v>
      </c>
      <c r="E1809" s="3">
        <f>971646+817211+361080+17258+264320</f>
        <v>2431515</v>
      </c>
      <c r="G1809" s="9">
        <f t="shared" si="38"/>
        <v>9461778</v>
      </c>
    </row>
    <row r="1810" spans="1:7" x14ac:dyDescent="0.2">
      <c r="A1810" s="20">
        <v>45244</v>
      </c>
      <c r="B1810" s="21"/>
      <c r="C1810" s="22" t="s">
        <v>1202</v>
      </c>
      <c r="D1810" s="21" t="s">
        <v>9</v>
      </c>
      <c r="E1810" s="23">
        <v>1383075</v>
      </c>
      <c r="F1810" s="23"/>
      <c r="G1810" s="9">
        <f t="shared" si="38"/>
        <v>10844853</v>
      </c>
    </row>
    <row r="1811" spans="1:7" x14ac:dyDescent="0.2">
      <c r="A1811" s="12">
        <v>45245</v>
      </c>
      <c r="C1811" s="2" t="s">
        <v>1143</v>
      </c>
      <c r="D1811" s="1" t="s">
        <v>9</v>
      </c>
      <c r="F1811" s="3">
        <f>750000</f>
        <v>750000</v>
      </c>
      <c r="G1811" s="9">
        <f t="shared" si="38"/>
        <v>10094853</v>
      </c>
    </row>
    <row r="1812" spans="1:7" x14ac:dyDescent="0.2">
      <c r="A1812" s="12">
        <v>45245</v>
      </c>
      <c r="C1812" s="2" t="s">
        <v>1196</v>
      </c>
      <c r="D1812" s="1" t="s">
        <v>9</v>
      </c>
      <c r="F1812" s="3">
        <f>419844+275</f>
        <v>420119</v>
      </c>
      <c r="G1812" s="9">
        <f t="shared" si="38"/>
        <v>9674734</v>
      </c>
    </row>
    <row r="1813" spans="1:7" x14ac:dyDescent="0.2">
      <c r="A1813" s="12">
        <v>45245</v>
      </c>
      <c r="C1813" s="2" t="s">
        <v>1197</v>
      </c>
      <c r="D1813" s="1" t="s">
        <v>9</v>
      </c>
      <c r="F1813" s="3">
        <f>410640</f>
        <v>410640</v>
      </c>
      <c r="G1813" s="9">
        <f t="shared" si="38"/>
        <v>9264094</v>
      </c>
    </row>
    <row r="1814" spans="1:7" x14ac:dyDescent="0.2">
      <c r="A1814" s="12">
        <v>45245</v>
      </c>
      <c r="C1814" s="2" t="s">
        <v>1198</v>
      </c>
      <c r="D1814" s="1" t="s">
        <v>9</v>
      </c>
      <c r="F1814" s="3">
        <f>60558+275</f>
        <v>60833</v>
      </c>
      <c r="G1814" s="9">
        <f t="shared" si="38"/>
        <v>9203261</v>
      </c>
    </row>
    <row r="1815" spans="1:7" x14ac:dyDescent="0.2">
      <c r="A1815" s="12">
        <v>45245</v>
      </c>
      <c r="C1815" s="22" t="s">
        <v>1159</v>
      </c>
      <c r="D1815" s="1" t="s">
        <v>9</v>
      </c>
      <c r="F1815" s="3">
        <v>3598255</v>
      </c>
      <c r="G1815" s="9">
        <f t="shared" si="38"/>
        <v>5605006</v>
      </c>
    </row>
    <row r="1816" spans="1:7" x14ac:dyDescent="0.2">
      <c r="A1816" s="12">
        <v>45245</v>
      </c>
      <c r="C1816" s="22" t="s">
        <v>711</v>
      </c>
      <c r="D1816" s="1" t="s">
        <v>9</v>
      </c>
      <c r="F1816" s="3">
        <v>27630</v>
      </c>
      <c r="G1816" s="9">
        <f t="shared" si="38"/>
        <v>5577376</v>
      </c>
    </row>
    <row r="1817" spans="1:7" x14ac:dyDescent="0.2">
      <c r="A1817" s="12">
        <v>45246</v>
      </c>
      <c r="C1817" s="2" t="s">
        <v>1204</v>
      </c>
      <c r="D1817" s="1" t="s">
        <v>9</v>
      </c>
      <c r="F1817" s="3">
        <f>2884858</f>
        <v>2884858</v>
      </c>
      <c r="G1817" s="9">
        <f t="shared" si="38"/>
        <v>2692518</v>
      </c>
    </row>
    <row r="1818" spans="1:7" x14ac:dyDescent="0.2">
      <c r="A1818" s="12">
        <v>45246</v>
      </c>
      <c r="C1818" s="22" t="s">
        <v>1205</v>
      </c>
      <c r="D1818" s="1" t="s">
        <v>9</v>
      </c>
      <c r="E1818" s="3">
        <f>315894+520026+141423+1222610+243375+517725+30281+78234+302821</f>
        <v>3372389</v>
      </c>
      <c r="G1818" s="9">
        <f t="shared" si="38"/>
        <v>6064907</v>
      </c>
    </row>
    <row r="1819" spans="1:7" x14ac:dyDescent="0.2">
      <c r="A1819" s="12">
        <v>45246</v>
      </c>
      <c r="C1819" s="22" t="s">
        <v>1131</v>
      </c>
      <c r="D1819" s="1" t="s">
        <v>9</v>
      </c>
      <c r="E1819" s="3">
        <v>54162</v>
      </c>
      <c r="G1819" s="9">
        <f t="shared" si="38"/>
        <v>6119069</v>
      </c>
    </row>
    <row r="1820" spans="1:7" x14ac:dyDescent="0.2">
      <c r="A1820" s="12">
        <v>45246</v>
      </c>
      <c r="C1820" s="2" t="s">
        <v>35</v>
      </c>
      <c r="D1820" s="1" t="s">
        <v>9</v>
      </c>
      <c r="F1820" s="3">
        <v>6600</v>
      </c>
      <c r="G1820" s="9">
        <f t="shared" si="38"/>
        <v>6112469</v>
      </c>
    </row>
    <row r="1821" spans="1:7" x14ac:dyDescent="0.2">
      <c r="A1821" s="12">
        <v>45246</v>
      </c>
      <c r="C1821" s="2" t="s">
        <v>20</v>
      </c>
      <c r="D1821" s="1" t="s">
        <v>9</v>
      </c>
      <c r="F1821" s="3">
        <v>5000</v>
      </c>
      <c r="G1821" s="9">
        <f t="shared" si="38"/>
        <v>6107469</v>
      </c>
    </row>
    <row r="1822" spans="1:7" x14ac:dyDescent="0.2">
      <c r="A1822" s="12">
        <v>45246</v>
      </c>
      <c r="C1822" s="2" t="s">
        <v>20</v>
      </c>
      <c r="D1822" s="1" t="s">
        <v>9</v>
      </c>
      <c r="F1822" s="3">
        <v>5000</v>
      </c>
      <c r="G1822" s="9">
        <f t="shared" si="38"/>
        <v>6102469</v>
      </c>
    </row>
    <row r="1823" spans="1:7" x14ac:dyDescent="0.2">
      <c r="A1823" s="12">
        <v>45246</v>
      </c>
      <c r="C1823" s="2" t="s">
        <v>497</v>
      </c>
      <c r="D1823" s="1" t="s">
        <v>9</v>
      </c>
      <c r="E1823" s="3">
        <v>223578</v>
      </c>
      <c r="G1823" s="9">
        <f t="shared" si="38"/>
        <v>6326047</v>
      </c>
    </row>
    <row r="1824" spans="1:7" x14ac:dyDescent="0.2">
      <c r="A1824" s="12">
        <v>45246</v>
      </c>
      <c r="C1824" s="2" t="s">
        <v>701</v>
      </c>
      <c r="D1824" s="1" t="s">
        <v>9</v>
      </c>
      <c r="E1824" s="3">
        <v>833995</v>
      </c>
      <c r="G1824" s="9">
        <f t="shared" si="38"/>
        <v>7160042</v>
      </c>
    </row>
    <row r="1825" spans="1:7" x14ac:dyDescent="0.2">
      <c r="A1825" s="37">
        <v>45247</v>
      </c>
      <c r="B1825" s="35"/>
      <c r="C1825" s="34" t="s">
        <v>1214</v>
      </c>
      <c r="D1825" s="35" t="s">
        <v>9</v>
      </c>
      <c r="E1825" s="36"/>
      <c r="F1825" s="36">
        <f>5636107+126811</f>
        <v>5762918</v>
      </c>
      <c r="G1825" s="9">
        <f t="shared" si="38"/>
        <v>1397124</v>
      </c>
    </row>
    <row r="1826" spans="1:7" x14ac:dyDescent="0.2">
      <c r="A1826" s="12">
        <v>45250</v>
      </c>
      <c r="C1826" s="2" t="s">
        <v>1208</v>
      </c>
      <c r="D1826" s="1" t="s">
        <v>9</v>
      </c>
      <c r="E1826" s="3">
        <f>499612</f>
        <v>499612</v>
      </c>
      <c r="G1826" s="9">
        <f t="shared" si="38"/>
        <v>1896736</v>
      </c>
    </row>
    <row r="1827" spans="1:7" x14ac:dyDescent="0.2">
      <c r="A1827" s="12">
        <v>45250</v>
      </c>
      <c r="C1827" s="2" t="s">
        <v>137</v>
      </c>
      <c r="D1827" s="1" t="s">
        <v>9</v>
      </c>
      <c r="E1827" s="3">
        <v>76110</v>
      </c>
      <c r="G1827" s="9">
        <f t="shared" si="38"/>
        <v>1972846</v>
      </c>
    </row>
    <row r="1828" spans="1:7" x14ac:dyDescent="0.2">
      <c r="A1828" s="12">
        <v>45250</v>
      </c>
      <c r="C1828" s="2" t="s">
        <v>999</v>
      </c>
      <c r="D1828" s="1" t="s">
        <v>9</v>
      </c>
      <c r="E1828" s="3">
        <v>31846</v>
      </c>
      <c r="G1828" s="9">
        <f t="shared" si="38"/>
        <v>2004692</v>
      </c>
    </row>
    <row r="1829" spans="1:7" x14ac:dyDescent="0.2">
      <c r="A1829" s="12">
        <v>45250</v>
      </c>
      <c r="C1829" s="2" t="s">
        <v>1209</v>
      </c>
      <c r="D1829" s="1" t="s">
        <v>9</v>
      </c>
      <c r="E1829" s="3">
        <f>24098</f>
        <v>24098</v>
      </c>
      <c r="G1829" s="9">
        <f t="shared" si="38"/>
        <v>2028790</v>
      </c>
    </row>
    <row r="1830" spans="1:7" x14ac:dyDescent="0.2">
      <c r="A1830" s="12">
        <v>45250</v>
      </c>
      <c r="C1830" s="2" t="s">
        <v>1210</v>
      </c>
      <c r="D1830" s="1" t="s">
        <v>9</v>
      </c>
      <c r="E1830" s="3">
        <f>205019</f>
        <v>205019</v>
      </c>
      <c r="G1830" s="9">
        <f t="shared" si="38"/>
        <v>2233809</v>
      </c>
    </row>
    <row r="1831" spans="1:7" x14ac:dyDescent="0.2">
      <c r="A1831" s="12">
        <v>45250</v>
      </c>
      <c r="C1831" s="2" t="s">
        <v>1211</v>
      </c>
      <c r="D1831" s="1" t="s">
        <v>9</v>
      </c>
      <c r="E1831" s="3">
        <f>380000</f>
        <v>380000</v>
      </c>
      <c r="G1831" s="9">
        <f t="shared" si="38"/>
        <v>2613809</v>
      </c>
    </row>
    <row r="1832" spans="1:7" x14ac:dyDescent="0.2">
      <c r="A1832" s="12">
        <v>45250</v>
      </c>
      <c r="C1832" s="2" t="s">
        <v>276</v>
      </c>
      <c r="D1832" s="1" t="s">
        <v>9</v>
      </c>
      <c r="E1832" s="3">
        <f>583439</f>
        <v>583439</v>
      </c>
      <c r="G1832" s="9">
        <f t="shared" si="38"/>
        <v>3197248</v>
      </c>
    </row>
    <row r="1833" spans="1:7" x14ac:dyDescent="0.2">
      <c r="A1833" s="12">
        <v>45250</v>
      </c>
      <c r="C1833" s="2" t="s">
        <v>1212</v>
      </c>
      <c r="D1833" s="1" t="s">
        <v>9</v>
      </c>
      <c r="E1833" s="3">
        <f>1239000</f>
        <v>1239000</v>
      </c>
      <c r="G1833" s="9">
        <f t="shared" si="38"/>
        <v>4436248</v>
      </c>
    </row>
    <row r="1834" spans="1:7" x14ac:dyDescent="0.2">
      <c r="A1834" s="12">
        <v>45251</v>
      </c>
      <c r="C1834" s="2" t="s">
        <v>1217</v>
      </c>
      <c r="D1834" s="1" t="s">
        <v>9</v>
      </c>
      <c r="F1834" s="3">
        <f>4238683+109011</f>
        <v>4347694</v>
      </c>
      <c r="G1834" s="9">
        <f t="shared" si="38"/>
        <v>88554</v>
      </c>
    </row>
    <row r="1835" spans="1:7" x14ac:dyDescent="0.2">
      <c r="A1835" s="37">
        <v>45252</v>
      </c>
      <c r="B1835" s="35" t="s">
        <v>1216</v>
      </c>
      <c r="C1835" s="34" t="s">
        <v>1220</v>
      </c>
      <c r="D1835" s="35" t="s">
        <v>9</v>
      </c>
      <c r="E1835" s="36"/>
      <c r="F1835" s="36">
        <v>600000</v>
      </c>
      <c r="G1835" s="9">
        <f t="shared" si="38"/>
        <v>-511446</v>
      </c>
    </row>
    <row r="1836" spans="1:7" x14ac:dyDescent="0.2">
      <c r="A1836" s="37">
        <v>45253</v>
      </c>
      <c r="B1836" s="35" t="s">
        <v>1215</v>
      </c>
      <c r="C1836" s="34" t="s">
        <v>1221</v>
      </c>
      <c r="D1836" s="35" t="s">
        <v>9</v>
      </c>
      <c r="E1836" s="36"/>
      <c r="F1836" s="36">
        <v>165000</v>
      </c>
      <c r="G1836" s="9">
        <f t="shared" si="38"/>
        <v>-676446</v>
      </c>
    </row>
    <row r="1837" spans="1:7" x14ac:dyDescent="0.2">
      <c r="A1837" s="12">
        <v>45254</v>
      </c>
      <c r="C1837" s="2" t="s">
        <v>1206</v>
      </c>
      <c r="D1837" s="1" t="s">
        <v>9</v>
      </c>
      <c r="E1837" s="3">
        <f>753614+36487+169006+233419+906311+1318457</f>
        <v>3417294</v>
      </c>
      <c r="G1837" s="9">
        <f t="shared" si="38"/>
        <v>2740848</v>
      </c>
    </row>
    <row r="1838" spans="1:7" x14ac:dyDescent="0.2">
      <c r="A1838" s="37">
        <v>45254</v>
      </c>
      <c r="B1838" s="35"/>
      <c r="C1838" s="34" t="s">
        <v>35</v>
      </c>
      <c r="D1838" s="35" t="s">
        <v>9</v>
      </c>
      <c r="E1838" s="36"/>
      <c r="F1838" s="36">
        <v>6600</v>
      </c>
      <c r="G1838" s="9">
        <f t="shared" si="38"/>
        <v>2734248</v>
      </c>
    </row>
    <row r="1839" spans="1:7" x14ac:dyDescent="0.2">
      <c r="A1839" s="37">
        <v>45254</v>
      </c>
      <c r="B1839" s="35" t="s">
        <v>1207</v>
      </c>
      <c r="C1839" s="34" t="s">
        <v>1219</v>
      </c>
      <c r="D1839" s="35" t="s">
        <v>9</v>
      </c>
      <c r="E1839" s="36"/>
      <c r="F1839" s="36">
        <v>175000</v>
      </c>
      <c r="G1839" s="9">
        <f t="shared" si="38"/>
        <v>2559248</v>
      </c>
    </row>
    <row r="1840" spans="1:7" x14ac:dyDescent="0.2">
      <c r="A1840" s="37">
        <v>45254</v>
      </c>
      <c r="B1840" s="35"/>
      <c r="C1840" s="34" t="s">
        <v>27</v>
      </c>
      <c r="D1840" s="35" t="s">
        <v>9</v>
      </c>
      <c r="E1840" s="36"/>
      <c r="F1840" s="36">
        <v>150000</v>
      </c>
      <c r="G1840" s="9">
        <f t="shared" si="38"/>
        <v>2409248</v>
      </c>
    </row>
    <row r="1841" spans="1:9" x14ac:dyDescent="0.2">
      <c r="A1841" s="37">
        <v>45254</v>
      </c>
      <c r="B1841" s="35" t="s">
        <v>1213</v>
      </c>
      <c r="C1841" s="34" t="s">
        <v>1218</v>
      </c>
      <c r="D1841" s="35" t="s">
        <v>9</v>
      </c>
      <c r="E1841" s="36"/>
      <c r="F1841" s="36">
        <v>635000</v>
      </c>
      <c r="G1841" s="9">
        <f t="shared" si="38"/>
        <v>1774248</v>
      </c>
    </row>
    <row r="1842" spans="1:9" x14ac:dyDescent="0.2">
      <c r="A1842" s="12">
        <v>45257</v>
      </c>
      <c r="C1842" s="2" t="s">
        <v>137</v>
      </c>
      <c r="D1842" s="1" t="s">
        <v>9</v>
      </c>
      <c r="E1842" s="3">
        <v>119107</v>
      </c>
      <c r="G1842" s="9">
        <f t="shared" si="38"/>
        <v>1893355</v>
      </c>
    </row>
    <row r="1843" spans="1:9" x14ac:dyDescent="0.2">
      <c r="A1843" s="12">
        <v>45258</v>
      </c>
      <c r="C1843" s="2" t="s">
        <v>701</v>
      </c>
      <c r="D1843" s="1" t="s">
        <v>9</v>
      </c>
      <c r="E1843" s="3">
        <v>2323812</v>
      </c>
      <c r="G1843" s="9">
        <f t="shared" si="38"/>
        <v>4217167</v>
      </c>
    </row>
    <row r="1844" spans="1:9" x14ac:dyDescent="0.2">
      <c r="A1844" s="12">
        <v>45260</v>
      </c>
      <c r="C1844" s="18" t="s">
        <v>1223</v>
      </c>
      <c r="D1844" s="1" t="s">
        <v>9</v>
      </c>
      <c r="F1844" s="3">
        <v>1000000</v>
      </c>
      <c r="G1844" s="9">
        <f t="shared" si="38"/>
        <v>3217167</v>
      </c>
    </row>
    <row r="1845" spans="1:9" x14ac:dyDescent="0.2">
      <c r="A1845" s="12">
        <v>45260</v>
      </c>
      <c r="C1845" s="2" t="s">
        <v>34</v>
      </c>
      <c r="D1845" s="1" t="s">
        <v>9</v>
      </c>
      <c r="F1845" s="3">
        <v>138</v>
      </c>
      <c r="G1845" s="9">
        <f t="shared" si="38"/>
        <v>3217029</v>
      </c>
    </row>
    <row r="1846" spans="1:9" x14ac:dyDescent="0.2">
      <c r="A1846" s="12">
        <v>45260</v>
      </c>
      <c r="C1846" s="18" t="s">
        <v>1223</v>
      </c>
      <c r="D1846" s="1" t="s">
        <v>9</v>
      </c>
      <c r="F1846" s="3">
        <v>2790569</v>
      </c>
      <c r="G1846" s="9">
        <f t="shared" si="38"/>
        <v>426460</v>
      </c>
    </row>
    <row r="1847" spans="1:9" x14ac:dyDescent="0.2">
      <c r="A1847" s="12">
        <v>45260</v>
      </c>
      <c r="C1847" s="2" t="s">
        <v>34</v>
      </c>
      <c r="D1847" s="1" t="s">
        <v>9</v>
      </c>
      <c r="F1847" s="3">
        <v>275</v>
      </c>
      <c r="G1847" s="9">
        <f t="shared" si="38"/>
        <v>426185</v>
      </c>
    </row>
    <row r="1848" spans="1:9" x14ac:dyDescent="0.2">
      <c r="A1848" s="12">
        <v>45260</v>
      </c>
      <c r="C1848" s="2" t="s">
        <v>1230</v>
      </c>
      <c r="D1848" s="1" t="s">
        <v>9</v>
      </c>
      <c r="F1848" s="3">
        <v>71080</v>
      </c>
      <c r="G1848" s="9">
        <f t="shared" si="38"/>
        <v>355105</v>
      </c>
    </row>
    <row r="1849" spans="1:9" x14ac:dyDescent="0.2">
      <c r="A1849" s="12">
        <v>45260</v>
      </c>
      <c r="C1849" s="2" t="s">
        <v>35</v>
      </c>
      <c r="D1849" s="1" t="s">
        <v>9</v>
      </c>
      <c r="F1849" s="3">
        <v>6600</v>
      </c>
      <c r="G1849" s="9">
        <f t="shared" si="38"/>
        <v>348505</v>
      </c>
      <c r="I1849" s="24">
        <v>450304</v>
      </c>
    </row>
    <row r="1850" spans="1:9" x14ac:dyDescent="0.2">
      <c r="A1850" s="12">
        <v>45260</v>
      </c>
      <c r="C1850" s="2" t="s">
        <v>61</v>
      </c>
      <c r="D1850" s="1" t="s">
        <v>9</v>
      </c>
      <c r="E1850" s="3">
        <v>282846</v>
      </c>
      <c r="G1850" s="9">
        <f t="shared" si="38"/>
        <v>631351</v>
      </c>
      <c r="I1850" s="9">
        <f>I1849+E1686</f>
        <v>631351</v>
      </c>
    </row>
    <row r="1851" spans="1:9" s="28" customFormat="1" ht="15.75" x14ac:dyDescent="0.25">
      <c r="A1851" s="10" t="s">
        <v>1224</v>
      </c>
      <c r="B1851" s="1"/>
      <c r="C1851" s="2"/>
      <c r="D1851" s="1"/>
      <c r="E1851" s="3"/>
      <c r="F1851" s="3"/>
      <c r="G1851" s="9"/>
      <c r="H1851" s="27"/>
      <c r="I1851" s="26"/>
    </row>
    <row r="1852" spans="1:9" s="28" customFormat="1" x14ac:dyDescent="0.2">
      <c r="A1852" s="11" t="s">
        <v>2</v>
      </c>
      <c r="B1852" s="5" t="s">
        <v>1</v>
      </c>
      <c r="C1852" s="5" t="s">
        <v>3</v>
      </c>
      <c r="D1852" s="5"/>
      <c r="E1852" s="7" t="s">
        <v>4</v>
      </c>
      <c r="F1852" s="7" t="s">
        <v>6</v>
      </c>
      <c r="G1852" s="8" t="s">
        <v>5</v>
      </c>
      <c r="H1852" s="27"/>
      <c r="I1852" s="26"/>
    </row>
    <row r="1853" spans="1:9" x14ac:dyDescent="0.2">
      <c r="A1853" s="12">
        <v>45261</v>
      </c>
      <c r="C1853" s="2" t="s">
        <v>1208</v>
      </c>
      <c r="D1853" s="1" t="s">
        <v>9</v>
      </c>
      <c r="E1853" s="3">
        <v>74812</v>
      </c>
      <c r="G1853" s="9">
        <f>G1850+E1853-F1853</f>
        <v>706163</v>
      </c>
    </row>
    <row r="1854" spans="1:9" x14ac:dyDescent="0.2">
      <c r="A1854" s="12">
        <v>45261</v>
      </c>
      <c r="C1854" s="2" t="s">
        <v>1208</v>
      </c>
      <c r="D1854" s="1" t="s">
        <v>9</v>
      </c>
      <c r="E1854" s="3">
        <v>282416</v>
      </c>
      <c r="G1854" s="9">
        <f t="shared" si="38"/>
        <v>988579</v>
      </c>
    </row>
    <row r="1855" spans="1:9" x14ac:dyDescent="0.2">
      <c r="A1855" s="12">
        <v>45261</v>
      </c>
      <c r="C1855" s="2" t="s">
        <v>1225</v>
      </c>
      <c r="D1855" s="1" t="s">
        <v>9</v>
      </c>
      <c r="E1855" s="3">
        <v>291441</v>
      </c>
      <c r="G1855" s="9">
        <f t="shared" si="38"/>
        <v>1280020</v>
      </c>
    </row>
    <row r="1856" spans="1:9" x14ac:dyDescent="0.2">
      <c r="A1856" s="12">
        <v>45261</v>
      </c>
      <c r="C1856" s="2" t="s">
        <v>1226</v>
      </c>
      <c r="D1856" s="1" t="s">
        <v>9</v>
      </c>
      <c r="E1856" s="3">
        <v>53454</v>
      </c>
      <c r="G1856" s="9">
        <f t="shared" si="38"/>
        <v>1333474</v>
      </c>
    </row>
    <row r="1857" spans="1:7" x14ac:dyDescent="0.2">
      <c r="A1857" s="12">
        <v>45261</v>
      </c>
      <c r="C1857" s="2" t="s">
        <v>1227</v>
      </c>
      <c r="D1857" s="1" t="s">
        <v>9</v>
      </c>
      <c r="E1857" s="3">
        <v>26993</v>
      </c>
      <c r="G1857" s="9">
        <f t="shared" si="38"/>
        <v>1360467</v>
      </c>
    </row>
    <row r="1858" spans="1:7" x14ac:dyDescent="0.2">
      <c r="A1858" s="12">
        <v>45261</v>
      </c>
      <c r="C1858" s="2" t="s">
        <v>1228</v>
      </c>
      <c r="D1858" s="1" t="s">
        <v>9</v>
      </c>
      <c r="E1858" s="3">
        <v>77804</v>
      </c>
      <c r="G1858" s="9">
        <f t="shared" si="38"/>
        <v>1438271</v>
      </c>
    </row>
    <row r="1859" spans="1:7" x14ac:dyDescent="0.2">
      <c r="A1859" s="12">
        <v>45261</v>
      </c>
      <c r="C1859" s="2" t="s">
        <v>1229</v>
      </c>
      <c r="D1859" s="1" t="s">
        <v>9</v>
      </c>
      <c r="E1859" s="3">
        <v>4086824</v>
      </c>
      <c r="G1859" s="9">
        <f t="shared" si="38"/>
        <v>5525095</v>
      </c>
    </row>
    <row r="1860" spans="1:7" x14ac:dyDescent="0.2">
      <c r="A1860" s="12">
        <v>45261</v>
      </c>
      <c r="C1860" s="2" t="s">
        <v>35</v>
      </c>
      <c r="D1860" s="1" t="s">
        <v>9</v>
      </c>
      <c r="F1860" s="3">
        <v>6600</v>
      </c>
      <c r="G1860" s="9">
        <f t="shared" si="38"/>
        <v>5518495</v>
      </c>
    </row>
    <row r="1861" spans="1:7" x14ac:dyDescent="0.2">
      <c r="A1861" s="12">
        <v>45264</v>
      </c>
      <c r="C1861" s="2" t="s">
        <v>1222</v>
      </c>
      <c r="D1861" s="1" t="s">
        <v>9</v>
      </c>
      <c r="F1861" s="3">
        <f>1424819</f>
        <v>1424819</v>
      </c>
      <c r="G1861" s="9">
        <f t="shared" si="38"/>
        <v>4093676</v>
      </c>
    </row>
    <row r="1862" spans="1:7" x14ac:dyDescent="0.2">
      <c r="A1862" s="12">
        <v>45264</v>
      </c>
      <c r="C1862" s="2" t="s">
        <v>35</v>
      </c>
      <c r="D1862" s="1" t="s">
        <v>9</v>
      </c>
      <c r="F1862" s="3">
        <v>6600</v>
      </c>
      <c r="G1862" s="9">
        <f t="shared" si="38"/>
        <v>4087076</v>
      </c>
    </row>
    <row r="1863" spans="1:7" x14ac:dyDescent="0.2">
      <c r="A1863" s="12">
        <v>45265</v>
      </c>
      <c r="C1863" s="2" t="s">
        <v>61</v>
      </c>
      <c r="D1863" s="1" t="s">
        <v>9</v>
      </c>
      <c r="E1863" s="3">
        <v>341722</v>
      </c>
      <c r="G1863" s="9">
        <f t="shared" si="38"/>
        <v>4428798</v>
      </c>
    </row>
    <row r="1864" spans="1:7" x14ac:dyDescent="0.2">
      <c r="A1864" s="12">
        <v>45265</v>
      </c>
      <c r="C1864" s="18" t="s">
        <v>1231</v>
      </c>
      <c r="D1864" s="1" t="s">
        <v>9</v>
      </c>
      <c r="F1864" s="3">
        <f>1138761</f>
        <v>1138761</v>
      </c>
      <c r="G1864" s="9">
        <f t="shared" si="38"/>
        <v>3290037</v>
      </c>
    </row>
    <row r="1865" spans="1:7" x14ac:dyDescent="0.2">
      <c r="A1865" s="12">
        <v>45265</v>
      </c>
      <c r="C1865" s="2" t="s">
        <v>1232</v>
      </c>
      <c r="D1865" s="1" t="s">
        <v>9</v>
      </c>
      <c r="F1865" s="3">
        <f>1149525+48003</f>
        <v>1197528</v>
      </c>
      <c r="G1865" s="9">
        <f t="shared" ref="G1865:G1928" si="39">G1864+E1865-F1865</f>
        <v>2092509</v>
      </c>
    </row>
    <row r="1866" spans="1:7" x14ac:dyDescent="0.2">
      <c r="A1866" s="12">
        <v>45265</v>
      </c>
      <c r="C1866" s="2" t="s">
        <v>1233</v>
      </c>
      <c r="D1866" s="1" t="s">
        <v>9</v>
      </c>
      <c r="F1866" s="3">
        <f>2540469+75475</f>
        <v>2615944</v>
      </c>
      <c r="G1866" s="9">
        <f t="shared" si="39"/>
        <v>-523435</v>
      </c>
    </row>
    <row r="1867" spans="1:7" x14ac:dyDescent="0.2">
      <c r="A1867" s="12">
        <v>45268</v>
      </c>
      <c r="C1867" s="18" t="s">
        <v>1234</v>
      </c>
      <c r="D1867" s="1" t="s">
        <v>9</v>
      </c>
      <c r="F1867" s="3">
        <f>4689504</f>
        <v>4689504</v>
      </c>
      <c r="G1867" s="9">
        <f t="shared" si="39"/>
        <v>-5212939</v>
      </c>
    </row>
    <row r="1868" spans="1:7" x14ac:dyDescent="0.2">
      <c r="A1868" s="12">
        <v>45268</v>
      </c>
      <c r="C1868" s="2" t="s">
        <v>1235</v>
      </c>
      <c r="D1868" s="1" t="s">
        <v>9</v>
      </c>
      <c r="E1868" s="3">
        <v>43189</v>
      </c>
      <c r="G1868" s="9">
        <f t="shared" si="39"/>
        <v>-5169750</v>
      </c>
    </row>
    <row r="1869" spans="1:7" x14ac:dyDescent="0.2">
      <c r="A1869" s="12">
        <v>45268</v>
      </c>
      <c r="C1869" s="2" t="s">
        <v>1235</v>
      </c>
      <c r="D1869" s="1" t="s">
        <v>9</v>
      </c>
      <c r="E1869" s="3">
        <v>33786</v>
      </c>
      <c r="G1869" s="9">
        <f t="shared" si="39"/>
        <v>-5135964</v>
      </c>
    </row>
    <row r="1870" spans="1:7" x14ac:dyDescent="0.2">
      <c r="A1870" s="12">
        <v>45268</v>
      </c>
      <c r="C1870" s="2" t="s">
        <v>1236</v>
      </c>
      <c r="D1870" s="1" t="s">
        <v>9</v>
      </c>
      <c r="E1870" s="3">
        <v>162500</v>
      </c>
      <c r="G1870" s="9">
        <f t="shared" si="39"/>
        <v>-4973464</v>
      </c>
    </row>
    <row r="1871" spans="1:7" x14ac:dyDescent="0.2">
      <c r="A1871" s="12">
        <v>45268</v>
      </c>
      <c r="C1871" s="2" t="s">
        <v>1237</v>
      </c>
      <c r="D1871" s="1" t="s">
        <v>9</v>
      </c>
      <c r="E1871" s="3">
        <v>231280</v>
      </c>
      <c r="G1871" s="9">
        <f t="shared" si="39"/>
        <v>-4742184</v>
      </c>
    </row>
    <row r="1872" spans="1:7" x14ac:dyDescent="0.2">
      <c r="A1872" s="12">
        <v>45268</v>
      </c>
      <c r="C1872" s="2" t="s">
        <v>1238</v>
      </c>
      <c r="D1872" s="1" t="s">
        <v>9</v>
      </c>
      <c r="E1872" s="3">
        <v>254703</v>
      </c>
      <c r="G1872" s="9">
        <f t="shared" si="39"/>
        <v>-4487481</v>
      </c>
    </row>
    <row r="1873" spans="1:7" x14ac:dyDescent="0.2">
      <c r="A1873" s="12">
        <v>45268</v>
      </c>
      <c r="C1873" s="2" t="s">
        <v>1239</v>
      </c>
      <c r="D1873" s="1" t="s">
        <v>9</v>
      </c>
      <c r="E1873" s="3">
        <v>500000</v>
      </c>
      <c r="G1873" s="9">
        <f t="shared" si="39"/>
        <v>-3987481</v>
      </c>
    </row>
    <row r="1874" spans="1:7" x14ac:dyDescent="0.2">
      <c r="A1874" s="12">
        <v>45268</v>
      </c>
      <c r="C1874" s="2" t="s">
        <v>1240</v>
      </c>
      <c r="D1874" s="1" t="s">
        <v>9</v>
      </c>
      <c r="E1874" s="3">
        <v>97826</v>
      </c>
      <c r="G1874" s="9">
        <f t="shared" si="39"/>
        <v>-3889655</v>
      </c>
    </row>
    <row r="1875" spans="1:7" x14ac:dyDescent="0.2">
      <c r="A1875" s="12">
        <v>45268</v>
      </c>
      <c r="C1875" s="2" t="s">
        <v>1210</v>
      </c>
      <c r="D1875" s="1" t="s">
        <v>9</v>
      </c>
      <c r="E1875" s="3">
        <v>86863</v>
      </c>
      <c r="G1875" s="9">
        <f t="shared" si="39"/>
        <v>-3802792</v>
      </c>
    </row>
    <row r="1876" spans="1:7" x14ac:dyDescent="0.2">
      <c r="A1876" s="12">
        <v>45268</v>
      </c>
      <c r="C1876" s="2" t="s">
        <v>1241</v>
      </c>
      <c r="D1876" s="1" t="s">
        <v>9</v>
      </c>
      <c r="E1876" s="3">
        <v>453120</v>
      </c>
      <c r="G1876" s="9">
        <f t="shared" si="39"/>
        <v>-3349672</v>
      </c>
    </row>
    <row r="1877" spans="1:7" x14ac:dyDescent="0.2">
      <c r="A1877" s="12">
        <v>45268</v>
      </c>
      <c r="C1877" s="2" t="s">
        <v>1242</v>
      </c>
      <c r="D1877" s="1" t="s">
        <v>9</v>
      </c>
      <c r="E1877" s="3">
        <v>1008994</v>
      </c>
      <c r="G1877" s="9">
        <f t="shared" si="39"/>
        <v>-2340678</v>
      </c>
    </row>
    <row r="1878" spans="1:7" x14ac:dyDescent="0.2">
      <c r="A1878" s="12">
        <v>45268</v>
      </c>
      <c r="C1878" s="2" t="s">
        <v>1243</v>
      </c>
      <c r="D1878" s="1" t="s">
        <v>9</v>
      </c>
      <c r="E1878" s="3">
        <v>2688320</v>
      </c>
      <c r="G1878" s="9">
        <f t="shared" si="39"/>
        <v>347642</v>
      </c>
    </row>
    <row r="1879" spans="1:7" x14ac:dyDescent="0.2">
      <c r="A1879" s="12">
        <v>45271</v>
      </c>
      <c r="C1879" s="2" t="s">
        <v>906</v>
      </c>
      <c r="D1879" s="1" t="s">
        <v>9</v>
      </c>
      <c r="E1879" s="3">
        <v>386698</v>
      </c>
      <c r="G1879" s="9">
        <f t="shared" si="39"/>
        <v>734340</v>
      </c>
    </row>
    <row r="1880" spans="1:7" x14ac:dyDescent="0.2">
      <c r="A1880" s="12">
        <v>45272</v>
      </c>
      <c r="C1880" s="2" t="s">
        <v>1246</v>
      </c>
      <c r="D1880" s="1" t="s">
        <v>9</v>
      </c>
      <c r="F1880" s="3">
        <f>256271</f>
        <v>256271</v>
      </c>
      <c r="G1880" s="9">
        <f t="shared" si="39"/>
        <v>478069</v>
      </c>
    </row>
    <row r="1881" spans="1:7" x14ac:dyDescent="0.2">
      <c r="A1881" s="12">
        <v>45272</v>
      </c>
      <c r="C1881" s="2" t="s">
        <v>1247</v>
      </c>
      <c r="D1881" s="1" t="s">
        <v>9</v>
      </c>
      <c r="F1881" s="3">
        <f>432597</f>
        <v>432597</v>
      </c>
      <c r="G1881" s="9">
        <f t="shared" si="39"/>
        <v>45472</v>
      </c>
    </row>
    <row r="1882" spans="1:7" x14ac:dyDescent="0.2">
      <c r="A1882" s="12">
        <v>45272</v>
      </c>
      <c r="C1882" s="2" t="s">
        <v>1248</v>
      </c>
      <c r="D1882" s="1" t="s">
        <v>9</v>
      </c>
      <c r="F1882" s="3">
        <f>164256+275</f>
        <v>164531</v>
      </c>
      <c r="G1882" s="9">
        <f t="shared" si="39"/>
        <v>-119059</v>
      </c>
    </row>
    <row r="1883" spans="1:7" x14ac:dyDescent="0.2">
      <c r="A1883" s="12">
        <v>45272</v>
      </c>
      <c r="C1883" s="2" t="s">
        <v>1249</v>
      </c>
      <c r="D1883" s="1" t="s">
        <v>9</v>
      </c>
      <c r="F1883" s="3">
        <f>432833+275</f>
        <v>433108</v>
      </c>
      <c r="G1883" s="9">
        <f t="shared" si="39"/>
        <v>-552167</v>
      </c>
    </row>
    <row r="1884" spans="1:7" x14ac:dyDescent="0.2">
      <c r="A1884" s="12">
        <v>45272</v>
      </c>
      <c r="C1884" s="2" t="s">
        <v>1250</v>
      </c>
      <c r="D1884" s="1" t="s">
        <v>9</v>
      </c>
      <c r="F1884" s="3">
        <f>80505+275</f>
        <v>80780</v>
      </c>
      <c r="G1884" s="9">
        <f t="shared" si="39"/>
        <v>-632947</v>
      </c>
    </row>
    <row r="1885" spans="1:7" x14ac:dyDescent="0.2">
      <c r="A1885" s="12">
        <v>45272</v>
      </c>
      <c r="C1885" s="2" t="s">
        <v>1143</v>
      </c>
      <c r="D1885" s="1" t="s">
        <v>9</v>
      </c>
      <c r="F1885" s="3">
        <f>750000+275</f>
        <v>750275</v>
      </c>
      <c r="G1885" s="9">
        <f t="shared" si="39"/>
        <v>-1383222</v>
      </c>
    </row>
    <row r="1886" spans="1:7" x14ac:dyDescent="0.2">
      <c r="A1886" s="12">
        <v>45273</v>
      </c>
      <c r="C1886" s="2" t="s">
        <v>1252</v>
      </c>
      <c r="D1886" s="1" t="s">
        <v>9</v>
      </c>
      <c r="E1886" s="3">
        <v>103278</v>
      </c>
      <c r="G1886" s="9">
        <f t="shared" si="39"/>
        <v>-1279944</v>
      </c>
    </row>
    <row r="1887" spans="1:7" x14ac:dyDescent="0.2">
      <c r="A1887" s="12">
        <v>45273</v>
      </c>
      <c r="C1887" s="2" t="s">
        <v>251</v>
      </c>
      <c r="D1887" s="1" t="s">
        <v>9</v>
      </c>
      <c r="E1887" s="3">
        <v>153786</v>
      </c>
      <c r="G1887" s="9">
        <f t="shared" si="39"/>
        <v>-1126158</v>
      </c>
    </row>
    <row r="1888" spans="1:7" x14ac:dyDescent="0.2">
      <c r="A1888" s="12">
        <v>45273</v>
      </c>
      <c r="C1888" s="2" t="s">
        <v>650</v>
      </c>
      <c r="D1888" s="1" t="s">
        <v>9</v>
      </c>
      <c r="E1888" s="3">
        <v>1555352</v>
      </c>
      <c r="G1888" s="9">
        <f t="shared" si="39"/>
        <v>429194</v>
      </c>
    </row>
    <row r="1889" spans="1:13" x14ac:dyDescent="0.2">
      <c r="A1889" s="12">
        <v>45274</v>
      </c>
      <c r="C1889" s="2" t="s">
        <v>1253</v>
      </c>
      <c r="D1889" s="1" t="s">
        <v>9</v>
      </c>
      <c r="F1889" s="3">
        <f>695931</f>
        <v>695931</v>
      </c>
      <c r="G1889" s="9">
        <f t="shared" si="39"/>
        <v>-266737</v>
      </c>
    </row>
    <row r="1890" spans="1:13" x14ac:dyDescent="0.2">
      <c r="A1890" s="12">
        <v>45274</v>
      </c>
      <c r="C1890" s="2" t="s">
        <v>1244</v>
      </c>
      <c r="D1890" s="1" t="s">
        <v>9</v>
      </c>
      <c r="F1890" s="3">
        <f>1113500+275</f>
        <v>1113775</v>
      </c>
      <c r="G1890" s="9">
        <f t="shared" si="39"/>
        <v>-1380512</v>
      </c>
    </row>
    <row r="1891" spans="1:13" x14ac:dyDescent="0.2">
      <c r="A1891" s="12">
        <v>45274</v>
      </c>
      <c r="C1891" s="2" t="s">
        <v>1245</v>
      </c>
      <c r="D1891" s="1" t="s">
        <v>9</v>
      </c>
      <c r="F1891" s="3">
        <f>3009000+275</f>
        <v>3009275</v>
      </c>
      <c r="G1891" s="9">
        <f t="shared" si="39"/>
        <v>-4389787</v>
      </c>
      <c r="M1891" t="s">
        <v>1544</v>
      </c>
    </row>
    <row r="1892" spans="1:13" x14ac:dyDescent="0.2">
      <c r="A1892" s="12">
        <v>45274</v>
      </c>
      <c r="C1892" s="2" t="s">
        <v>1251</v>
      </c>
      <c r="D1892" s="1" t="s">
        <v>9</v>
      </c>
      <c r="F1892" s="3">
        <f>1895000</f>
        <v>1895000</v>
      </c>
      <c r="G1892" s="9">
        <f t="shared" si="39"/>
        <v>-6284787</v>
      </c>
    </row>
    <row r="1893" spans="1:13" x14ac:dyDescent="0.2">
      <c r="A1893" s="37">
        <v>45274</v>
      </c>
      <c r="B1893" s="35"/>
      <c r="C1893" s="34" t="s">
        <v>1267</v>
      </c>
      <c r="D1893" s="35" t="s">
        <v>9</v>
      </c>
      <c r="E1893" s="36"/>
      <c r="F1893" s="36">
        <v>2532867</v>
      </c>
      <c r="G1893" s="9">
        <f t="shared" si="39"/>
        <v>-8817654</v>
      </c>
    </row>
    <row r="1894" spans="1:13" x14ac:dyDescent="0.2">
      <c r="A1894" s="37">
        <v>45274</v>
      </c>
      <c r="B1894" s="35"/>
      <c r="C1894" s="34" t="s">
        <v>528</v>
      </c>
      <c r="D1894" s="35" t="s">
        <v>9</v>
      </c>
      <c r="E1894" s="36"/>
      <c r="F1894" s="36">
        <v>5000</v>
      </c>
      <c r="G1894" s="9">
        <f t="shared" si="39"/>
        <v>-8822654</v>
      </c>
    </row>
    <row r="1895" spans="1:13" x14ac:dyDescent="0.2">
      <c r="A1895" s="37">
        <v>45274</v>
      </c>
      <c r="B1895" s="35"/>
      <c r="C1895" s="34" t="s">
        <v>711</v>
      </c>
      <c r="D1895" s="35" t="s">
        <v>9</v>
      </c>
      <c r="E1895" s="36"/>
      <c r="F1895" s="36">
        <v>36195</v>
      </c>
      <c r="G1895" s="9">
        <f t="shared" si="39"/>
        <v>-8858849</v>
      </c>
    </row>
    <row r="1896" spans="1:13" x14ac:dyDescent="0.2">
      <c r="A1896" s="37">
        <v>45274</v>
      </c>
      <c r="B1896" s="35"/>
      <c r="C1896" s="34" t="s">
        <v>528</v>
      </c>
      <c r="D1896" s="35" t="s">
        <v>9</v>
      </c>
      <c r="E1896" s="36"/>
      <c r="F1896" s="36">
        <v>5000</v>
      </c>
      <c r="G1896" s="9">
        <f t="shared" si="39"/>
        <v>-8863849</v>
      </c>
    </row>
    <row r="1897" spans="1:13" x14ac:dyDescent="0.2">
      <c r="A1897" s="37">
        <v>45274</v>
      </c>
      <c r="B1897" s="35"/>
      <c r="C1897" s="34" t="s">
        <v>165</v>
      </c>
      <c r="D1897" s="35" t="s">
        <v>9</v>
      </c>
      <c r="E1897" s="36">
        <v>1151760</v>
      </c>
      <c r="F1897" s="36"/>
      <c r="G1897" s="9">
        <f t="shared" si="39"/>
        <v>-7712089</v>
      </c>
    </row>
    <row r="1898" spans="1:13" x14ac:dyDescent="0.2">
      <c r="A1898" s="37">
        <v>45275</v>
      </c>
      <c r="B1898" s="35"/>
      <c r="C1898" s="34" t="s">
        <v>1255</v>
      </c>
      <c r="D1898" s="35" t="s">
        <v>9</v>
      </c>
      <c r="E1898" s="36">
        <v>67968</v>
      </c>
      <c r="F1898" s="36"/>
      <c r="G1898" s="9">
        <f t="shared" si="39"/>
        <v>-7644121</v>
      </c>
    </row>
    <row r="1899" spans="1:13" x14ac:dyDescent="0.2">
      <c r="A1899" s="37">
        <v>45275</v>
      </c>
      <c r="B1899" s="35"/>
      <c r="C1899" s="34" t="s">
        <v>1227</v>
      </c>
      <c r="D1899" s="35" t="s">
        <v>9</v>
      </c>
      <c r="E1899" s="36">
        <v>47348</v>
      </c>
      <c r="F1899" s="36"/>
      <c r="G1899" s="9">
        <f t="shared" si="39"/>
        <v>-7596773</v>
      </c>
    </row>
    <row r="1900" spans="1:13" x14ac:dyDescent="0.2">
      <c r="A1900" s="37">
        <v>45275</v>
      </c>
      <c r="B1900" s="35"/>
      <c r="C1900" s="34" t="s">
        <v>1256</v>
      </c>
      <c r="D1900" s="35" t="s">
        <v>9</v>
      </c>
      <c r="E1900" s="36">
        <v>1563166</v>
      </c>
      <c r="F1900" s="36"/>
      <c r="G1900" s="9">
        <f t="shared" si="39"/>
        <v>-6033607</v>
      </c>
    </row>
    <row r="1901" spans="1:13" x14ac:dyDescent="0.2">
      <c r="A1901" s="37">
        <v>45275</v>
      </c>
      <c r="B1901" s="35"/>
      <c r="C1901" s="34" t="s">
        <v>1256</v>
      </c>
      <c r="D1901" s="35" t="s">
        <v>9</v>
      </c>
      <c r="E1901" s="36">
        <v>322456</v>
      </c>
      <c r="F1901" s="36"/>
      <c r="G1901" s="9">
        <f t="shared" si="39"/>
        <v>-5711151</v>
      </c>
    </row>
    <row r="1902" spans="1:13" x14ac:dyDescent="0.2">
      <c r="A1902" s="37">
        <v>45275</v>
      </c>
      <c r="B1902" s="35"/>
      <c r="C1902" s="34" t="s">
        <v>1257</v>
      </c>
      <c r="D1902" s="35" t="s">
        <v>9</v>
      </c>
      <c r="E1902" s="36">
        <v>311214</v>
      </c>
      <c r="F1902" s="36"/>
      <c r="G1902" s="9">
        <f t="shared" si="39"/>
        <v>-5399937</v>
      </c>
    </row>
    <row r="1903" spans="1:13" x14ac:dyDescent="0.2">
      <c r="A1903" s="37">
        <v>45275</v>
      </c>
      <c r="B1903" s="35"/>
      <c r="C1903" s="34" t="s">
        <v>1258</v>
      </c>
      <c r="D1903" s="35" t="s">
        <v>9</v>
      </c>
      <c r="E1903" s="36">
        <v>1180</v>
      </c>
      <c r="F1903" s="36"/>
      <c r="G1903" s="9">
        <f t="shared" si="39"/>
        <v>-5398757</v>
      </c>
    </row>
    <row r="1904" spans="1:13" x14ac:dyDescent="0.2">
      <c r="A1904" s="37">
        <v>45275</v>
      </c>
      <c r="B1904" s="35"/>
      <c r="C1904" s="34" t="s">
        <v>1259</v>
      </c>
      <c r="D1904" s="35" t="s">
        <v>9</v>
      </c>
      <c r="E1904" s="36">
        <v>38232</v>
      </c>
      <c r="F1904" s="36"/>
      <c r="G1904" s="9">
        <f t="shared" si="39"/>
        <v>-5360525</v>
      </c>
    </row>
    <row r="1905" spans="1:9" x14ac:dyDescent="0.2">
      <c r="A1905" s="37">
        <v>45275</v>
      </c>
      <c r="B1905" s="35"/>
      <c r="C1905" s="34" t="s">
        <v>1261</v>
      </c>
      <c r="D1905" s="35" t="s">
        <v>9</v>
      </c>
      <c r="E1905" s="36">
        <v>598791</v>
      </c>
      <c r="F1905" s="36"/>
      <c r="G1905" s="9">
        <f t="shared" si="39"/>
        <v>-4761734</v>
      </c>
    </row>
    <row r="1906" spans="1:9" x14ac:dyDescent="0.2">
      <c r="A1906" s="37">
        <v>45275</v>
      </c>
      <c r="B1906" s="35"/>
      <c r="C1906" s="34" t="s">
        <v>1262</v>
      </c>
      <c r="D1906" s="35" t="s">
        <v>9</v>
      </c>
      <c r="E1906" s="36">
        <v>601139</v>
      </c>
      <c r="F1906" s="36"/>
      <c r="G1906" s="9">
        <f t="shared" si="39"/>
        <v>-4160595</v>
      </c>
    </row>
    <row r="1907" spans="1:9" x14ac:dyDescent="0.2">
      <c r="A1907" s="37">
        <v>45278</v>
      </c>
      <c r="B1907" s="35" t="s">
        <v>1254</v>
      </c>
      <c r="C1907" s="34" t="s">
        <v>1260</v>
      </c>
      <c r="D1907" s="35" t="s">
        <v>9</v>
      </c>
      <c r="E1907" s="36"/>
      <c r="F1907" s="36">
        <v>600000</v>
      </c>
      <c r="G1907" s="9">
        <f t="shared" si="39"/>
        <v>-4760595</v>
      </c>
    </row>
    <row r="1908" spans="1:9" x14ac:dyDescent="0.2">
      <c r="A1908" s="37">
        <v>45279</v>
      </c>
      <c r="B1908" s="35"/>
      <c r="C1908" s="34" t="s">
        <v>783</v>
      </c>
      <c r="D1908" s="35" t="s">
        <v>9</v>
      </c>
      <c r="E1908" s="36">
        <v>2406645</v>
      </c>
      <c r="F1908" s="36"/>
      <c r="G1908" s="9">
        <f t="shared" si="39"/>
        <v>-2353950</v>
      </c>
    </row>
    <row r="1909" spans="1:9" x14ac:dyDescent="0.2">
      <c r="A1909" s="37">
        <v>45280</v>
      </c>
      <c r="B1909" s="35"/>
      <c r="C1909" s="34" t="s">
        <v>1268</v>
      </c>
      <c r="D1909" s="35" t="s">
        <v>9</v>
      </c>
      <c r="E1909" s="36">
        <v>778323</v>
      </c>
      <c r="F1909" s="36"/>
      <c r="G1909" s="9">
        <f t="shared" si="39"/>
        <v>-1575627</v>
      </c>
    </row>
    <row r="1910" spans="1:9" x14ac:dyDescent="0.2">
      <c r="A1910" s="37">
        <v>45280</v>
      </c>
      <c r="B1910" s="35"/>
      <c r="C1910" s="34" t="s">
        <v>1269</v>
      </c>
      <c r="D1910" s="35" t="s">
        <v>9</v>
      </c>
      <c r="E1910" s="36">
        <v>3686655</v>
      </c>
      <c r="F1910" s="36"/>
      <c r="G1910" s="9">
        <f t="shared" si="39"/>
        <v>2111028</v>
      </c>
    </row>
    <row r="1911" spans="1:9" x14ac:dyDescent="0.2">
      <c r="A1911" s="37">
        <v>45281</v>
      </c>
      <c r="B1911" s="35"/>
      <c r="C1911" s="34" t="s">
        <v>1265</v>
      </c>
      <c r="D1911" s="35" t="s">
        <v>9</v>
      </c>
      <c r="E1911" s="36">
        <v>16048</v>
      </c>
      <c r="F1911" s="36"/>
      <c r="G1911" s="9">
        <f t="shared" si="39"/>
        <v>2127076</v>
      </c>
    </row>
    <row r="1912" spans="1:9" x14ac:dyDescent="0.2">
      <c r="A1912" s="37">
        <v>45281</v>
      </c>
      <c r="B1912" s="35"/>
      <c r="C1912" s="34" t="s">
        <v>1266</v>
      </c>
      <c r="D1912" s="35" t="s">
        <v>9</v>
      </c>
      <c r="E1912" s="36">
        <v>694784</v>
      </c>
      <c r="F1912" s="36"/>
      <c r="G1912" s="9">
        <f t="shared" si="39"/>
        <v>2821860</v>
      </c>
    </row>
    <row r="1913" spans="1:9" x14ac:dyDescent="0.2">
      <c r="A1913" s="37">
        <v>45281</v>
      </c>
      <c r="B1913" s="35"/>
      <c r="C1913" s="34" t="s">
        <v>1264</v>
      </c>
      <c r="D1913" s="35" t="s">
        <v>9</v>
      </c>
      <c r="E1913" s="36">
        <v>349797</v>
      </c>
      <c r="F1913" s="36"/>
      <c r="G1913" s="9">
        <f t="shared" si="39"/>
        <v>3171657</v>
      </c>
    </row>
    <row r="1914" spans="1:9" x14ac:dyDescent="0.2">
      <c r="A1914" s="37">
        <v>45281</v>
      </c>
      <c r="B1914" s="35"/>
      <c r="C1914" s="34" t="s">
        <v>1263</v>
      </c>
      <c r="D1914" s="35" t="s">
        <v>9</v>
      </c>
      <c r="E1914" s="36">
        <v>183491</v>
      </c>
      <c r="F1914" s="36"/>
      <c r="G1914" s="9">
        <f t="shared" si="39"/>
        <v>3355148</v>
      </c>
      <c r="I1914" s="9">
        <v>3024101</v>
      </c>
    </row>
    <row r="1915" spans="1:9" x14ac:dyDescent="0.2">
      <c r="A1915" s="37">
        <v>45282</v>
      </c>
      <c r="B1915" s="35"/>
      <c r="C1915" s="34" t="s">
        <v>27</v>
      </c>
      <c r="D1915" s="35" t="s">
        <v>9</v>
      </c>
      <c r="E1915" s="36"/>
      <c r="F1915" s="36">
        <v>150000</v>
      </c>
      <c r="G1915" s="9">
        <f t="shared" si="39"/>
        <v>3205148</v>
      </c>
      <c r="I1915" s="9">
        <f>I1914+E1686</f>
        <v>3205148</v>
      </c>
    </row>
    <row r="1916" spans="1:9" x14ac:dyDescent="0.2">
      <c r="A1916" s="12">
        <v>45286</v>
      </c>
      <c r="C1916" s="34" t="s">
        <v>1270</v>
      </c>
      <c r="D1916" s="1" t="s">
        <v>9</v>
      </c>
      <c r="E1916" s="3">
        <v>115686</v>
      </c>
      <c r="G1916" s="9">
        <f t="shared" si="39"/>
        <v>3320834</v>
      </c>
    </row>
    <row r="1917" spans="1:9" x14ac:dyDescent="0.2">
      <c r="A1917" s="12">
        <v>45286</v>
      </c>
      <c r="C1917" s="34" t="s">
        <v>1271</v>
      </c>
      <c r="D1917" s="1" t="s">
        <v>9</v>
      </c>
      <c r="E1917" s="3">
        <v>30090</v>
      </c>
      <c r="G1917" s="9">
        <f t="shared" si="39"/>
        <v>3350924</v>
      </c>
    </row>
    <row r="1918" spans="1:9" x14ac:dyDescent="0.2">
      <c r="A1918" s="12">
        <v>45286</v>
      </c>
      <c r="C1918" s="34" t="s">
        <v>1272</v>
      </c>
      <c r="D1918" s="1" t="s">
        <v>9</v>
      </c>
      <c r="E1918" s="3">
        <v>393563</v>
      </c>
      <c r="G1918" s="9">
        <f t="shared" si="39"/>
        <v>3744487</v>
      </c>
    </row>
    <row r="1919" spans="1:9" x14ac:dyDescent="0.2">
      <c r="A1919" s="12">
        <v>45286</v>
      </c>
      <c r="C1919" s="34" t="s">
        <v>1273</v>
      </c>
      <c r="D1919" s="1" t="s">
        <v>9</v>
      </c>
      <c r="E1919" s="3">
        <v>73405</v>
      </c>
      <c r="G1919" s="9">
        <f t="shared" si="39"/>
        <v>3817892</v>
      </c>
    </row>
    <row r="1920" spans="1:9" x14ac:dyDescent="0.2">
      <c r="A1920" s="12">
        <v>45286</v>
      </c>
      <c r="C1920" s="34" t="s">
        <v>1274</v>
      </c>
      <c r="D1920" s="1" t="s">
        <v>9</v>
      </c>
      <c r="E1920" s="3">
        <v>806592</v>
      </c>
      <c r="G1920" s="9">
        <f t="shared" si="39"/>
        <v>4624484</v>
      </c>
    </row>
    <row r="1921" spans="1:7" x14ac:dyDescent="0.2">
      <c r="A1921" s="37">
        <v>45287</v>
      </c>
      <c r="B1921" s="35" t="s">
        <v>1275</v>
      </c>
      <c r="C1921" s="34" t="s">
        <v>1282</v>
      </c>
      <c r="D1921" s="35" t="s">
        <v>9</v>
      </c>
      <c r="E1921" s="36"/>
      <c r="F1921" s="36">
        <v>480000</v>
      </c>
      <c r="G1921" s="9">
        <f t="shared" si="39"/>
        <v>4144484</v>
      </c>
    </row>
    <row r="1922" spans="1:7" x14ac:dyDescent="0.2">
      <c r="A1922" s="12">
        <v>45287</v>
      </c>
      <c r="C1922" s="2" t="s">
        <v>1276</v>
      </c>
      <c r="D1922" s="1" t="s">
        <v>9</v>
      </c>
      <c r="F1922" s="3">
        <v>44100</v>
      </c>
      <c r="G1922" s="9">
        <f t="shared" si="39"/>
        <v>4100384</v>
      </c>
    </row>
    <row r="1923" spans="1:7" x14ac:dyDescent="0.2">
      <c r="A1923" s="12">
        <v>45288</v>
      </c>
      <c r="C1923" s="34" t="s">
        <v>926</v>
      </c>
      <c r="D1923" s="1" t="s">
        <v>9</v>
      </c>
      <c r="E1923" s="3">
        <v>1208108</v>
      </c>
      <c r="G1923" s="9">
        <f t="shared" si="39"/>
        <v>5308492</v>
      </c>
    </row>
    <row r="1924" spans="1:7" x14ac:dyDescent="0.2">
      <c r="A1924" s="12">
        <v>45288</v>
      </c>
      <c r="C1924" s="2" t="s">
        <v>1277</v>
      </c>
      <c r="D1924" s="1" t="s">
        <v>9</v>
      </c>
      <c r="E1924" s="3">
        <v>19456</v>
      </c>
      <c r="F1924" s="3">
        <v>19453</v>
      </c>
      <c r="G1924" s="9">
        <f t="shared" si="39"/>
        <v>5308495</v>
      </c>
    </row>
    <row r="1925" spans="1:7" x14ac:dyDescent="0.2">
      <c r="A1925" s="12">
        <v>45288</v>
      </c>
      <c r="C1925" s="2" t="s">
        <v>1277</v>
      </c>
      <c r="D1925" s="1" t="s">
        <v>9</v>
      </c>
      <c r="E1925" s="3">
        <v>28580</v>
      </c>
      <c r="F1925" s="3">
        <v>28579</v>
      </c>
      <c r="G1925" s="9">
        <f t="shared" si="39"/>
        <v>5308496</v>
      </c>
    </row>
    <row r="1926" spans="1:7" x14ac:dyDescent="0.2">
      <c r="A1926" s="12">
        <v>45288</v>
      </c>
      <c r="C1926" s="2" t="s">
        <v>1277</v>
      </c>
      <c r="D1926" s="1" t="s">
        <v>9</v>
      </c>
      <c r="E1926" s="3">
        <v>18039</v>
      </c>
      <c r="F1926" s="3">
        <v>18040</v>
      </c>
      <c r="G1926" s="9">
        <f t="shared" si="39"/>
        <v>5308495</v>
      </c>
    </row>
    <row r="1927" spans="1:7" x14ac:dyDescent="0.2">
      <c r="A1927" s="12">
        <v>45288</v>
      </c>
      <c r="C1927" s="2" t="s">
        <v>1277</v>
      </c>
      <c r="D1927" s="1" t="s">
        <v>9</v>
      </c>
      <c r="E1927" s="3">
        <v>41391</v>
      </c>
      <c r="F1927" s="3">
        <v>41389</v>
      </c>
      <c r="G1927" s="9">
        <f t="shared" si="39"/>
        <v>5308497</v>
      </c>
    </row>
    <row r="1928" spans="1:7" x14ac:dyDescent="0.2">
      <c r="A1928" s="12">
        <v>45288</v>
      </c>
      <c r="C1928" s="2" t="s">
        <v>1277</v>
      </c>
      <c r="D1928" s="1" t="s">
        <v>9</v>
      </c>
      <c r="E1928" s="3">
        <v>18098</v>
      </c>
      <c r="F1928" s="3">
        <v>18100</v>
      </c>
      <c r="G1928" s="9">
        <f t="shared" si="39"/>
        <v>5308495</v>
      </c>
    </row>
    <row r="1929" spans="1:7" x14ac:dyDescent="0.2">
      <c r="A1929" s="12">
        <v>45288</v>
      </c>
      <c r="C1929" s="2" t="s">
        <v>1277</v>
      </c>
      <c r="D1929" s="1" t="s">
        <v>9</v>
      </c>
      <c r="E1929" s="3">
        <v>33369</v>
      </c>
      <c r="F1929" s="3">
        <v>33368</v>
      </c>
      <c r="G1929" s="9">
        <f t="shared" ref="G1929:G1992" si="40">G1928+E1929-F1929</f>
        <v>5308496</v>
      </c>
    </row>
    <row r="1930" spans="1:7" x14ac:dyDescent="0.2">
      <c r="A1930" s="12">
        <v>45288</v>
      </c>
      <c r="C1930" s="2" t="s">
        <v>1277</v>
      </c>
      <c r="D1930" s="1" t="s">
        <v>9</v>
      </c>
      <c r="E1930" s="3">
        <v>24349</v>
      </c>
      <c r="F1930" s="3">
        <v>24350</v>
      </c>
      <c r="G1930" s="9">
        <f t="shared" si="40"/>
        <v>5308495</v>
      </c>
    </row>
    <row r="1931" spans="1:7" x14ac:dyDescent="0.2">
      <c r="A1931" s="12">
        <v>45288</v>
      </c>
      <c r="C1931" s="2" t="s">
        <v>1277</v>
      </c>
      <c r="D1931" s="1" t="s">
        <v>9</v>
      </c>
      <c r="E1931" s="3">
        <v>13598</v>
      </c>
      <c r="F1931" s="3">
        <v>13600</v>
      </c>
      <c r="G1931" s="9">
        <f t="shared" si="40"/>
        <v>5308493</v>
      </c>
    </row>
    <row r="1932" spans="1:7" x14ac:dyDescent="0.2">
      <c r="A1932" s="12">
        <v>45288</v>
      </c>
      <c r="C1932" s="2" t="s">
        <v>1277</v>
      </c>
      <c r="D1932" s="1" t="s">
        <v>9</v>
      </c>
      <c r="E1932" s="3">
        <v>10830</v>
      </c>
      <c r="F1932" s="3">
        <v>10833</v>
      </c>
      <c r="G1932" s="9">
        <f t="shared" si="40"/>
        <v>5308490</v>
      </c>
    </row>
    <row r="1933" spans="1:7" x14ac:dyDescent="0.2">
      <c r="A1933" s="12">
        <v>45288</v>
      </c>
      <c r="C1933" s="2" t="s">
        <v>1277</v>
      </c>
      <c r="D1933" s="1" t="s">
        <v>9</v>
      </c>
      <c r="E1933" s="3">
        <v>25635</v>
      </c>
      <c r="F1933" s="3">
        <v>25634</v>
      </c>
      <c r="G1933" s="9">
        <f t="shared" si="40"/>
        <v>5308491</v>
      </c>
    </row>
    <row r="1934" spans="1:7" x14ac:dyDescent="0.2">
      <c r="A1934" s="12">
        <v>45288</v>
      </c>
      <c r="C1934" s="2" t="s">
        <v>1277</v>
      </c>
      <c r="D1934" s="1" t="s">
        <v>9</v>
      </c>
      <c r="E1934" s="3">
        <v>20590</v>
      </c>
      <c r="F1934" s="3">
        <v>20589</v>
      </c>
      <c r="G1934" s="9">
        <f t="shared" si="40"/>
        <v>5308492</v>
      </c>
    </row>
    <row r="1935" spans="1:7" x14ac:dyDescent="0.2">
      <c r="A1935" s="12">
        <v>45288</v>
      </c>
      <c r="C1935" s="2" t="s">
        <v>1277</v>
      </c>
      <c r="D1935" s="1" t="s">
        <v>9</v>
      </c>
      <c r="E1935" s="3">
        <v>20512</v>
      </c>
      <c r="F1935" s="3">
        <v>20511</v>
      </c>
      <c r="G1935" s="9">
        <f t="shared" si="40"/>
        <v>5308493</v>
      </c>
    </row>
    <row r="1936" spans="1:7" x14ac:dyDescent="0.2">
      <c r="A1936" s="12">
        <v>45288</v>
      </c>
      <c r="C1936" s="2" t="s">
        <v>1277</v>
      </c>
      <c r="D1936" s="1" t="s">
        <v>9</v>
      </c>
      <c r="E1936" s="3">
        <v>37449</v>
      </c>
      <c r="F1936" s="3">
        <v>37446</v>
      </c>
      <c r="G1936" s="9">
        <f t="shared" si="40"/>
        <v>5308496</v>
      </c>
    </row>
    <row r="1937" spans="1:11" x14ac:dyDescent="0.2">
      <c r="A1937" s="12">
        <v>45288</v>
      </c>
      <c r="C1937" s="2" t="s">
        <v>1277</v>
      </c>
      <c r="D1937" s="1" t="s">
        <v>9</v>
      </c>
      <c r="E1937" s="3">
        <v>10633</v>
      </c>
      <c r="F1937" s="3">
        <v>10631</v>
      </c>
      <c r="G1937" s="9">
        <f t="shared" si="40"/>
        <v>5308498</v>
      </c>
    </row>
    <row r="1938" spans="1:11" x14ac:dyDescent="0.2">
      <c r="A1938" s="12">
        <v>45288</v>
      </c>
      <c r="C1938" s="2" t="s">
        <v>1277</v>
      </c>
      <c r="D1938" s="1" t="s">
        <v>9</v>
      </c>
      <c r="E1938" s="3">
        <v>30423</v>
      </c>
      <c r="F1938" s="3">
        <v>30422</v>
      </c>
      <c r="G1938" s="9">
        <f t="shared" si="40"/>
        <v>5308499</v>
      </c>
    </row>
    <row r="1939" spans="1:11" x14ac:dyDescent="0.2">
      <c r="A1939" s="12">
        <v>45288</v>
      </c>
      <c r="C1939" s="2" t="s">
        <v>1277</v>
      </c>
      <c r="D1939" s="1" t="s">
        <v>9</v>
      </c>
      <c r="E1939" s="3">
        <v>12030</v>
      </c>
      <c r="F1939" s="3">
        <v>12033</v>
      </c>
      <c r="G1939" s="9">
        <f t="shared" si="40"/>
        <v>5308496</v>
      </c>
    </row>
    <row r="1940" spans="1:11" x14ac:dyDescent="0.2">
      <c r="A1940" s="12">
        <v>45288</v>
      </c>
      <c r="C1940" s="2" t="s">
        <v>1277</v>
      </c>
      <c r="D1940" s="1" t="s">
        <v>9</v>
      </c>
      <c r="E1940" s="3">
        <v>28036</v>
      </c>
      <c r="F1940" s="3">
        <v>28035</v>
      </c>
      <c r="G1940" s="9">
        <f t="shared" si="40"/>
        <v>5308497</v>
      </c>
    </row>
    <row r="1941" spans="1:11" x14ac:dyDescent="0.2">
      <c r="A1941" s="12">
        <v>45288</v>
      </c>
      <c r="C1941" s="2" t="s">
        <v>1277</v>
      </c>
      <c r="D1941" s="1" t="s">
        <v>9</v>
      </c>
      <c r="E1941" s="3">
        <v>38990</v>
      </c>
      <c r="F1941" s="3">
        <v>38993</v>
      </c>
      <c r="G1941" s="9">
        <f t="shared" si="40"/>
        <v>5308494</v>
      </c>
    </row>
    <row r="1942" spans="1:11" x14ac:dyDescent="0.2">
      <c r="A1942" s="12">
        <v>45288</v>
      </c>
      <c r="C1942" s="2" t="s">
        <v>1277</v>
      </c>
      <c r="D1942" s="1" t="s">
        <v>9</v>
      </c>
      <c r="E1942" s="3">
        <v>57606</v>
      </c>
      <c r="F1942" s="3">
        <v>57609</v>
      </c>
      <c r="G1942" s="9">
        <f t="shared" si="40"/>
        <v>5308491</v>
      </c>
    </row>
    <row r="1943" spans="1:11" x14ac:dyDescent="0.2">
      <c r="A1943" s="12">
        <v>45288</v>
      </c>
      <c r="C1943" s="2" t="s">
        <v>1277</v>
      </c>
      <c r="D1943" s="1" t="s">
        <v>9</v>
      </c>
      <c r="E1943" s="3">
        <v>37711</v>
      </c>
      <c r="F1943" s="3">
        <v>37708</v>
      </c>
      <c r="G1943" s="9">
        <f t="shared" si="40"/>
        <v>5308494</v>
      </c>
    </row>
    <row r="1944" spans="1:11" x14ac:dyDescent="0.2">
      <c r="A1944" s="12">
        <v>45288</v>
      </c>
      <c r="C1944" s="2" t="s">
        <v>1277</v>
      </c>
      <c r="D1944" s="1" t="s">
        <v>9</v>
      </c>
      <c r="E1944" s="3">
        <v>46455</v>
      </c>
      <c r="F1944" s="3">
        <v>46453</v>
      </c>
      <c r="G1944" s="9">
        <f t="shared" si="40"/>
        <v>5308496</v>
      </c>
    </row>
    <row r="1945" spans="1:11" x14ac:dyDescent="0.2">
      <c r="A1945" s="12">
        <v>45288</v>
      </c>
      <c r="C1945" s="2" t="s">
        <v>1277</v>
      </c>
      <c r="D1945" s="1" t="s">
        <v>9</v>
      </c>
      <c r="E1945" s="3">
        <v>12922</v>
      </c>
      <c r="F1945" s="3">
        <v>12919</v>
      </c>
      <c r="G1945" s="9">
        <f t="shared" si="40"/>
        <v>5308499</v>
      </c>
    </row>
    <row r="1946" spans="1:11" x14ac:dyDescent="0.2">
      <c r="A1946" s="12">
        <v>45288</v>
      </c>
      <c r="C1946" s="2" t="s">
        <v>1277</v>
      </c>
      <c r="D1946" s="1" t="s">
        <v>9</v>
      </c>
      <c r="E1946" s="3">
        <v>20085</v>
      </c>
      <c r="F1946" s="3">
        <v>20084</v>
      </c>
      <c r="G1946" s="9">
        <f t="shared" si="40"/>
        <v>5308500</v>
      </c>
    </row>
    <row r="1947" spans="1:11" x14ac:dyDescent="0.2">
      <c r="A1947" s="12">
        <v>45288</v>
      </c>
      <c r="C1947" s="2" t="s">
        <v>1277</v>
      </c>
      <c r="D1947" s="1" t="s">
        <v>9</v>
      </c>
      <c r="E1947" s="3">
        <v>33992</v>
      </c>
      <c r="F1947" s="3">
        <v>33990</v>
      </c>
      <c r="G1947" s="9">
        <f t="shared" si="40"/>
        <v>5308502</v>
      </c>
    </row>
    <row r="1948" spans="1:11" x14ac:dyDescent="0.2">
      <c r="A1948" s="12">
        <v>45288</v>
      </c>
      <c r="C1948" s="2" t="s">
        <v>1277</v>
      </c>
      <c r="D1948" s="1" t="s">
        <v>9</v>
      </c>
      <c r="E1948" s="3">
        <v>8757</v>
      </c>
      <c r="F1948" s="3">
        <v>8759</v>
      </c>
      <c r="G1948" s="9">
        <f t="shared" si="40"/>
        <v>5308500</v>
      </c>
    </row>
    <row r="1949" spans="1:11" x14ac:dyDescent="0.2">
      <c r="A1949" s="12">
        <v>45288</v>
      </c>
      <c r="C1949" s="2" t="s">
        <v>1277</v>
      </c>
      <c r="D1949" s="1" t="s">
        <v>9</v>
      </c>
      <c r="E1949" s="3">
        <v>25431</v>
      </c>
      <c r="F1949" s="3">
        <v>25432</v>
      </c>
      <c r="G1949" s="9">
        <f t="shared" si="40"/>
        <v>5308499</v>
      </c>
    </row>
    <row r="1950" spans="1:11" x14ac:dyDescent="0.2">
      <c r="A1950" s="37">
        <v>45289</v>
      </c>
      <c r="B1950" s="35"/>
      <c r="C1950" s="34" t="s">
        <v>1287</v>
      </c>
      <c r="D1950" s="35" t="s">
        <v>9</v>
      </c>
      <c r="E1950" s="36">
        <v>378130</v>
      </c>
      <c r="F1950" s="36"/>
      <c r="G1950" s="9">
        <f t="shared" si="40"/>
        <v>5686629</v>
      </c>
    </row>
    <row r="1951" spans="1:11" x14ac:dyDescent="0.2">
      <c r="A1951" s="37">
        <v>45289</v>
      </c>
      <c r="B1951" s="35"/>
      <c r="C1951" s="34" t="s">
        <v>1053</v>
      </c>
      <c r="D1951" s="35" t="s">
        <v>9</v>
      </c>
      <c r="E1951" s="36">
        <v>362313</v>
      </c>
      <c r="F1951" s="36"/>
      <c r="G1951" s="9">
        <f t="shared" si="40"/>
        <v>6048942</v>
      </c>
      <c r="I1951" s="24">
        <v>5794636</v>
      </c>
      <c r="J1951" s="9"/>
    </row>
    <row r="1952" spans="1:11" x14ac:dyDescent="0.2">
      <c r="A1952" s="12">
        <v>45289</v>
      </c>
      <c r="C1952" s="2" t="s">
        <v>1280</v>
      </c>
      <c r="D1952" s="1" t="s">
        <v>9</v>
      </c>
      <c r="F1952" s="3">
        <v>73259</v>
      </c>
      <c r="G1952" s="9">
        <f t="shared" si="40"/>
        <v>5975683</v>
      </c>
      <c r="I1952" s="9">
        <f>I1951+E1686</f>
        <v>5975683</v>
      </c>
      <c r="J1952" s="9"/>
      <c r="K1952" s="4"/>
    </row>
    <row r="1953" spans="1:9" s="28" customFormat="1" ht="15.75" x14ac:dyDescent="0.25">
      <c r="A1953" s="10" t="s">
        <v>1286</v>
      </c>
      <c r="B1953" s="1"/>
      <c r="C1953" s="2"/>
      <c r="D1953" s="1"/>
      <c r="E1953" s="3"/>
      <c r="F1953" s="3"/>
      <c r="G1953" s="9"/>
      <c r="H1953" s="27"/>
      <c r="I1953" s="26"/>
    </row>
    <row r="1954" spans="1:9" s="28" customFormat="1" x14ac:dyDescent="0.2">
      <c r="A1954" s="11" t="s">
        <v>2</v>
      </c>
      <c r="B1954" s="5" t="s">
        <v>1</v>
      </c>
      <c r="C1954" s="5" t="s">
        <v>3</v>
      </c>
      <c r="D1954" s="5"/>
      <c r="E1954" s="7" t="s">
        <v>4</v>
      </c>
      <c r="F1954" s="7" t="s">
        <v>6</v>
      </c>
      <c r="G1954" s="8" t="s">
        <v>5</v>
      </c>
      <c r="H1954" s="27"/>
      <c r="I1954" s="26"/>
    </row>
    <row r="1955" spans="1:9" x14ac:dyDescent="0.2">
      <c r="A1955" s="12">
        <v>45293</v>
      </c>
      <c r="C1955" s="18" t="s">
        <v>1278</v>
      </c>
      <c r="D1955" s="1" t="s">
        <v>9</v>
      </c>
      <c r="E1955" s="36"/>
      <c r="F1955" s="36">
        <v>1000000</v>
      </c>
      <c r="G1955" s="9">
        <f>G1952+E1955-F1955</f>
        <v>4975683</v>
      </c>
    </row>
    <row r="1956" spans="1:9" x14ac:dyDescent="0.2">
      <c r="A1956" s="12">
        <v>45293</v>
      </c>
      <c r="C1956" s="2" t="s">
        <v>34</v>
      </c>
      <c r="D1956" s="1" t="s">
        <v>9</v>
      </c>
      <c r="E1956" s="36"/>
      <c r="F1956" s="36">
        <v>138</v>
      </c>
      <c r="G1956" s="9">
        <f t="shared" si="40"/>
        <v>4975545</v>
      </c>
    </row>
    <row r="1957" spans="1:9" x14ac:dyDescent="0.2">
      <c r="A1957" s="12">
        <v>45293</v>
      </c>
      <c r="C1957" s="18" t="s">
        <v>1278</v>
      </c>
      <c r="D1957" s="1" t="s">
        <v>9</v>
      </c>
      <c r="E1957" s="36"/>
      <c r="F1957" s="36">
        <v>3334344</v>
      </c>
      <c r="G1957" s="9">
        <f t="shared" si="40"/>
        <v>1641201</v>
      </c>
    </row>
    <row r="1958" spans="1:9" x14ac:dyDescent="0.2">
      <c r="A1958" s="12">
        <v>45293</v>
      </c>
      <c r="C1958" s="2" t="s">
        <v>34</v>
      </c>
      <c r="D1958" s="1" t="s">
        <v>9</v>
      </c>
      <c r="E1958" s="36"/>
      <c r="F1958" s="36">
        <v>275</v>
      </c>
      <c r="G1958" s="9">
        <f t="shared" si="40"/>
        <v>1640926</v>
      </c>
    </row>
    <row r="1959" spans="1:9" x14ac:dyDescent="0.2">
      <c r="A1959" s="12">
        <v>45293</v>
      </c>
      <c r="C1959" s="2" t="s">
        <v>137</v>
      </c>
      <c r="D1959" s="1" t="s">
        <v>9</v>
      </c>
      <c r="E1959" s="36">
        <v>548140</v>
      </c>
      <c r="F1959" s="36"/>
      <c r="G1959" s="9">
        <f t="shared" si="40"/>
        <v>2189066</v>
      </c>
    </row>
    <row r="1960" spans="1:9" x14ac:dyDescent="0.2">
      <c r="A1960" s="37">
        <v>45293</v>
      </c>
      <c r="B1960" s="35"/>
      <c r="C1960" s="34" t="s">
        <v>1281</v>
      </c>
      <c r="D1960" s="35" t="s">
        <v>9</v>
      </c>
      <c r="E1960" s="36">
        <v>248007</v>
      </c>
      <c r="F1960" s="36"/>
      <c r="G1960" s="9">
        <f t="shared" si="40"/>
        <v>2437073</v>
      </c>
    </row>
    <row r="1961" spans="1:9" x14ac:dyDescent="0.2">
      <c r="A1961" s="37">
        <v>45293</v>
      </c>
      <c r="B1961" s="35"/>
      <c r="C1961" s="34" t="s">
        <v>1281</v>
      </c>
      <c r="D1961" s="35" t="s">
        <v>9</v>
      </c>
      <c r="E1961" s="36">
        <v>19360</v>
      </c>
      <c r="F1961" s="36"/>
      <c r="G1961" s="9">
        <f t="shared" si="40"/>
        <v>2456433</v>
      </c>
    </row>
    <row r="1962" spans="1:9" x14ac:dyDescent="0.2">
      <c r="A1962" s="37">
        <v>45293</v>
      </c>
      <c r="B1962" s="35"/>
      <c r="C1962" s="34" t="s">
        <v>1281</v>
      </c>
      <c r="D1962" s="35" t="s">
        <v>9</v>
      </c>
      <c r="E1962" s="36">
        <v>51401</v>
      </c>
      <c r="F1962" s="36"/>
      <c r="G1962" s="9">
        <f t="shared" si="40"/>
        <v>2507834</v>
      </c>
    </row>
    <row r="1963" spans="1:9" x14ac:dyDescent="0.2">
      <c r="A1963" s="12">
        <v>45293</v>
      </c>
      <c r="C1963" s="2" t="s">
        <v>701</v>
      </c>
      <c r="D1963" s="1" t="s">
        <v>9</v>
      </c>
      <c r="E1963" s="36">
        <v>1877014</v>
      </c>
      <c r="F1963" s="36"/>
      <c r="G1963" s="9">
        <f t="shared" si="40"/>
        <v>4384848</v>
      </c>
    </row>
    <row r="1964" spans="1:9" x14ac:dyDescent="0.2">
      <c r="A1964" s="12">
        <v>45294</v>
      </c>
      <c r="C1964" s="2" t="s">
        <v>1284</v>
      </c>
      <c r="D1964" s="1" t="s">
        <v>9</v>
      </c>
      <c r="E1964" s="36"/>
      <c r="F1964" s="36">
        <v>378130</v>
      </c>
      <c r="G1964" s="9">
        <f t="shared" si="40"/>
        <v>4006718</v>
      </c>
    </row>
    <row r="1965" spans="1:9" x14ac:dyDescent="0.2">
      <c r="A1965" s="12">
        <v>45295</v>
      </c>
      <c r="C1965" s="18" t="s">
        <v>1279</v>
      </c>
      <c r="D1965" s="1" t="s">
        <v>9</v>
      </c>
      <c r="E1965" s="36"/>
      <c r="F1965" s="36">
        <f>3077247</f>
        <v>3077247</v>
      </c>
      <c r="G1965" s="9">
        <f t="shared" si="40"/>
        <v>929471</v>
      </c>
    </row>
    <row r="1966" spans="1:9" x14ac:dyDescent="0.2">
      <c r="A1966" s="37">
        <v>45295</v>
      </c>
      <c r="B1966" s="35"/>
      <c r="C1966" s="34" t="s">
        <v>1283</v>
      </c>
      <c r="D1966" s="35" t="s">
        <v>9</v>
      </c>
      <c r="E1966" s="36"/>
      <c r="F1966" s="36">
        <v>158503</v>
      </c>
      <c r="G1966" s="9">
        <f t="shared" si="40"/>
        <v>770968</v>
      </c>
    </row>
    <row r="1967" spans="1:9" x14ac:dyDescent="0.2">
      <c r="A1967" s="37">
        <v>45295</v>
      </c>
      <c r="B1967" s="35"/>
      <c r="C1967" s="44" t="s">
        <v>1285</v>
      </c>
      <c r="D1967" s="35" t="s">
        <v>9</v>
      </c>
      <c r="E1967" s="36"/>
      <c r="F1967" s="36">
        <v>7240644</v>
      </c>
      <c r="G1967" s="9">
        <f t="shared" si="40"/>
        <v>-6469676</v>
      </c>
      <c r="I1967" s="24"/>
    </row>
    <row r="1968" spans="1:9" x14ac:dyDescent="0.2">
      <c r="A1968" s="37">
        <v>45295</v>
      </c>
      <c r="B1968" s="35"/>
      <c r="C1968" s="34" t="s">
        <v>1287</v>
      </c>
      <c r="D1968" s="35" t="s">
        <v>9</v>
      </c>
      <c r="E1968" s="36">
        <v>378130</v>
      </c>
      <c r="F1968" s="36"/>
      <c r="G1968" s="9">
        <f t="shared" si="40"/>
        <v>-6091546</v>
      </c>
    </row>
    <row r="1969" spans="1:9" x14ac:dyDescent="0.2">
      <c r="A1969" s="12">
        <v>45301</v>
      </c>
      <c r="C1969" s="2" t="s">
        <v>1288</v>
      </c>
      <c r="D1969" s="1" t="s">
        <v>9</v>
      </c>
      <c r="E1969" s="36">
        <v>468817</v>
      </c>
      <c r="F1969" s="36"/>
      <c r="G1969" s="9">
        <f t="shared" si="40"/>
        <v>-5622729</v>
      </c>
    </row>
    <row r="1970" spans="1:9" x14ac:dyDescent="0.2">
      <c r="A1970" s="12">
        <v>45301</v>
      </c>
      <c r="C1970" s="2" t="s">
        <v>1289</v>
      </c>
      <c r="D1970" s="1" t="s">
        <v>9</v>
      </c>
      <c r="E1970" s="36">
        <v>1000000</v>
      </c>
      <c r="F1970" s="36"/>
      <c r="G1970" s="9">
        <f t="shared" si="40"/>
        <v>-4622729</v>
      </c>
    </row>
    <row r="1971" spans="1:9" x14ac:dyDescent="0.2">
      <c r="A1971" s="12">
        <v>45301</v>
      </c>
      <c r="C1971" s="2" t="s">
        <v>1273</v>
      </c>
      <c r="D1971" s="1" t="s">
        <v>9</v>
      </c>
      <c r="E1971" s="36">
        <v>65702</v>
      </c>
      <c r="F1971" s="36"/>
      <c r="G1971" s="9">
        <f t="shared" si="40"/>
        <v>-4557027</v>
      </c>
    </row>
    <row r="1972" spans="1:9" x14ac:dyDescent="0.2">
      <c r="A1972" s="12">
        <v>45301</v>
      </c>
      <c r="C1972" s="2" t="s">
        <v>1290</v>
      </c>
      <c r="D1972" s="1" t="s">
        <v>9</v>
      </c>
      <c r="E1972" s="36">
        <v>54221</v>
      </c>
      <c r="F1972" s="36"/>
      <c r="G1972" s="9">
        <f t="shared" si="40"/>
        <v>-4502806</v>
      </c>
    </row>
    <row r="1973" spans="1:9" x14ac:dyDescent="0.2">
      <c r="A1973" s="12">
        <v>45301</v>
      </c>
      <c r="C1973" s="2" t="s">
        <v>1291</v>
      </c>
      <c r="D1973" s="1" t="s">
        <v>9</v>
      </c>
      <c r="E1973" s="36">
        <v>22156</v>
      </c>
      <c r="F1973" s="36"/>
      <c r="G1973" s="9">
        <f t="shared" si="40"/>
        <v>-4480650</v>
      </c>
    </row>
    <row r="1974" spans="1:9" x14ac:dyDescent="0.2">
      <c r="A1974" s="12">
        <v>45301</v>
      </c>
      <c r="C1974" s="2" t="s">
        <v>1291</v>
      </c>
      <c r="D1974" s="1" t="s">
        <v>9</v>
      </c>
      <c r="E1974" s="36">
        <v>362968</v>
      </c>
      <c r="F1974" s="36"/>
      <c r="G1974" s="9">
        <f t="shared" si="40"/>
        <v>-4117682</v>
      </c>
    </row>
    <row r="1975" spans="1:9" x14ac:dyDescent="0.2">
      <c r="A1975" s="37">
        <v>45302</v>
      </c>
      <c r="B1975" s="35" t="s">
        <v>1306</v>
      </c>
      <c r="C1975" s="34" t="s">
        <v>1325</v>
      </c>
      <c r="D1975" s="35" t="s">
        <v>9</v>
      </c>
      <c r="E1975" s="36"/>
      <c r="F1975" s="36">
        <v>1200000</v>
      </c>
      <c r="G1975" s="9">
        <f t="shared" si="40"/>
        <v>-5317682</v>
      </c>
    </row>
    <row r="1976" spans="1:9" x14ac:dyDescent="0.2">
      <c r="A1976" s="12">
        <v>45302</v>
      </c>
      <c r="C1976" s="2" t="s">
        <v>61</v>
      </c>
      <c r="D1976" s="1" t="s">
        <v>9</v>
      </c>
      <c r="E1976" s="36">
        <v>133930</v>
      </c>
      <c r="F1976" s="36"/>
      <c r="G1976" s="9">
        <f t="shared" si="40"/>
        <v>-5183752</v>
      </c>
    </row>
    <row r="1977" spans="1:9" x14ac:dyDescent="0.2">
      <c r="A1977" s="37">
        <v>45303</v>
      </c>
      <c r="B1977" s="35"/>
      <c r="C1977" s="34" t="s">
        <v>1292</v>
      </c>
      <c r="D1977" s="35" t="s">
        <v>9</v>
      </c>
      <c r="E1977" s="36"/>
      <c r="F1977" s="36">
        <f>650000+275</f>
        <v>650275</v>
      </c>
      <c r="G1977" s="9">
        <f t="shared" si="40"/>
        <v>-5834027</v>
      </c>
      <c r="I1977" s="24"/>
    </row>
    <row r="1978" spans="1:9" x14ac:dyDescent="0.2">
      <c r="A1978" s="37">
        <v>45303</v>
      </c>
      <c r="B1978" s="35"/>
      <c r="C1978" s="34" t="s">
        <v>1293</v>
      </c>
      <c r="D1978" s="35" t="s">
        <v>9</v>
      </c>
      <c r="E1978" s="36"/>
      <c r="F1978" s="36">
        <f>78942+275</f>
        <v>79217</v>
      </c>
      <c r="G1978" s="9">
        <f t="shared" si="40"/>
        <v>-5913244</v>
      </c>
    </row>
    <row r="1979" spans="1:9" x14ac:dyDescent="0.2">
      <c r="A1979" s="37">
        <v>45303</v>
      </c>
      <c r="C1979" s="2" t="s">
        <v>1294</v>
      </c>
      <c r="D1979" s="1" t="s">
        <v>9</v>
      </c>
      <c r="E1979" s="36"/>
      <c r="F1979" s="36">
        <f>202264</f>
        <v>202264</v>
      </c>
      <c r="G1979" s="9">
        <f t="shared" si="40"/>
        <v>-6115508</v>
      </c>
    </row>
    <row r="1980" spans="1:9" x14ac:dyDescent="0.2">
      <c r="A1980" s="37">
        <v>45303</v>
      </c>
      <c r="C1980" s="2" t="s">
        <v>1295</v>
      </c>
      <c r="D1980" s="1" t="s">
        <v>9</v>
      </c>
      <c r="E1980" s="36"/>
      <c r="F1980" s="36">
        <f>339132+275</f>
        <v>339407</v>
      </c>
      <c r="G1980" s="9">
        <f t="shared" si="40"/>
        <v>-6454915</v>
      </c>
    </row>
    <row r="1981" spans="1:9" x14ac:dyDescent="0.2">
      <c r="A1981" s="37">
        <v>45303</v>
      </c>
      <c r="C1981" s="2" t="s">
        <v>1296</v>
      </c>
      <c r="D1981" s="1" t="s">
        <v>9</v>
      </c>
      <c r="E1981" s="36"/>
      <c r="F1981" s="36">
        <f>499183+275</f>
        <v>499458</v>
      </c>
      <c r="G1981" s="9">
        <f t="shared" si="40"/>
        <v>-6954373</v>
      </c>
    </row>
    <row r="1982" spans="1:9" x14ac:dyDescent="0.2">
      <c r="A1982" s="37">
        <v>45303</v>
      </c>
      <c r="C1982" s="2" t="s">
        <v>1297</v>
      </c>
      <c r="D1982" s="1" t="s">
        <v>9</v>
      </c>
      <c r="E1982" s="36"/>
      <c r="F1982" s="36">
        <f>550106</f>
        <v>550106</v>
      </c>
      <c r="G1982" s="9">
        <f t="shared" si="40"/>
        <v>-7504479</v>
      </c>
    </row>
    <row r="1983" spans="1:9" x14ac:dyDescent="0.2">
      <c r="A1983" s="37">
        <v>45303</v>
      </c>
      <c r="C1983" s="2" t="s">
        <v>1298</v>
      </c>
      <c r="D1983" s="1" t="s">
        <v>9</v>
      </c>
      <c r="E1983" s="36"/>
      <c r="F1983" s="36">
        <f>2265600+275</f>
        <v>2265875</v>
      </c>
      <c r="G1983" s="9">
        <f t="shared" si="40"/>
        <v>-9770354</v>
      </c>
    </row>
    <row r="1984" spans="1:9" x14ac:dyDescent="0.2">
      <c r="A1984" s="37">
        <v>45303</v>
      </c>
      <c r="C1984" s="2" t="s">
        <v>1299</v>
      </c>
      <c r="D1984" s="1" t="s">
        <v>9</v>
      </c>
      <c r="E1984" s="36"/>
      <c r="F1984" s="36">
        <f>320000+275</f>
        <v>320275</v>
      </c>
      <c r="G1984" s="9">
        <f t="shared" si="40"/>
        <v>-10090629</v>
      </c>
    </row>
    <row r="1985" spans="1:7" x14ac:dyDescent="0.2">
      <c r="A1985" s="12">
        <v>45303</v>
      </c>
      <c r="C1985" s="2" t="s">
        <v>1112</v>
      </c>
      <c r="D1985" s="1" t="s">
        <v>9</v>
      </c>
      <c r="E1985" s="36"/>
      <c r="F1985" s="36">
        <f>4840845+120909</f>
        <v>4961754</v>
      </c>
      <c r="G1985" s="9">
        <f t="shared" si="40"/>
        <v>-15052383</v>
      </c>
    </row>
    <row r="1986" spans="1:7" x14ac:dyDescent="0.2">
      <c r="A1986" s="12">
        <v>45303</v>
      </c>
      <c r="C1986" s="2" t="s">
        <v>1028</v>
      </c>
      <c r="D1986" s="1" t="s">
        <v>9</v>
      </c>
      <c r="E1986" s="36">
        <v>55015</v>
      </c>
      <c r="F1986" s="36"/>
      <c r="G1986" s="9">
        <f t="shared" si="40"/>
        <v>-14997368</v>
      </c>
    </row>
    <row r="1987" spans="1:7" x14ac:dyDescent="0.2">
      <c r="A1987" s="12">
        <v>45303</v>
      </c>
      <c r="C1987" s="2" t="s">
        <v>61</v>
      </c>
      <c r="D1987" s="1" t="s">
        <v>9</v>
      </c>
      <c r="E1987" s="36">
        <v>28320</v>
      </c>
      <c r="F1987" s="36"/>
      <c r="G1987" s="9">
        <f t="shared" si="40"/>
        <v>-14969048</v>
      </c>
    </row>
    <row r="1988" spans="1:7" x14ac:dyDescent="0.2">
      <c r="A1988" s="12">
        <v>45304</v>
      </c>
      <c r="C1988" s="2" t="s">
        <v>1300</v>
      </c>
      <c r="D1988" s="1" t="s">
        <v>9</v>
      </c>
      <c r="E1988" s="36"/>
      <c r="F1988" s="36">
        <v>37378</v>
      </c>
      <c r="G1988" s="9">
        <f t="shared" si="40"/>
        <v>-15006426</v>
      </c>
    </row>
    <row r="1989" spans="1:7" x14ac:dyDescent="0.2">
      <c r="A1989" s="12">
        <v>45304</v>
      </c>
      <c r="C1989" s="2" t="s">
        <v>1300</v>
      </c>
      <c r="D1989" s="1" t="s">
        <v>9</v>
      </c>
      <c r="E1989" s="36"/>
      <c r="F1989" s="36">
        <v>3005396</v>
      </c>
      <c r="G1989" s="9">
        <f t="shared" si="40"/>
        <v>-18011822</v>
      </c>
    </row>
    <row r="1990" spans="1:7" x14ac:dyDescent="0.2">
      <c r="A1990" s="12">
        <v>45304</v>
      </c>
      <c r="C1990" s="2" t="s">
        <v>1257</v>
      </c>
      <c r="D1990" s="1" t="s">
        <v>9</v>
      </c>
      <c r="E1990" s="36">
        <v>137286</v>
      </c>
      <c r="F1990" s="36"/>
      <c r="G1990" s="9">
        <f t="shared" si="40"/>
        <v>-17874536</v>
      </c>
    </row>
    <row r="1991" spans="1:7" x14ac:dyDescent="0.2">
      <c r="A1991" s="12">
        <v>45304</v>
      </c>
      <c r="C1991" s="2" t="s">
        <v>1227</v>
      </c>
      <c r="D1991" s="1" t="s">
        <v>9</v>
      </c>
      <c r="E1991" s="36">
        <v>7080</v>
      </c>
      <c r="F1991" s="36"/>
      <c r="G1991" s="9">
        <f t="shared" si="40"/>
        <v>-17867456</v>
      </c>
    </row>
    <row r="1992" spans="1:7" x14ac:dyDescent="0.2">
      <c r="A1992" s="12">
        <v>45304</v>
      </c>
      <c r="C1992" s="2" t="s">
        <v>1257</v>
      </c>
      <c r="D1992" s="1" t="s">
        <v>9</v>
      </c>
      <c r="E1992" s="36">
        <v>681489</v>
      </c>
      <c r="F1992" s="36"/>
      <c r="G1992" s="9">
        <f t="shared" si="40"/>
        <v>-17185967</v>
      </c>
    </row>
    <row r="1993" spans="1:7" x14ac:dyDescent="0.2">
      <c r="A1993" s="12">
        <v>45304</v>
      </c>
      <c r="C1993" s="2" t="s">
        <v>1301</v>
      </c>
      <c r="D1993" s="1" t="s">
        <v>9</v>
      </c>
      <c r="E1993" s="36">
        <v>566017</v>
      </c>
      <c r="F1993" s="36"/>
      <c r="G1993" s="9">
        <f t="shared" ref="G1993:G2037" si="41">G1992+E1993-F1993</f>
        <v>-16619950</v>
      </c>
    </row>
    <row r="1994" spans="1:7" x14ac:dyDescent="0.2">
      <c r="A1994" s="12">
        <v>45304</v>
      </c>
      <c r="C1994" s="2" t="s">
        <v>1302</v>
      </c>
      <c r="D1994" s="1" t="s">
        <v>9</v>
      </c>
      <c r="E1994" s="36">
        <v>133434</v>
      </c>
      <c r="F1994" s="36"/>
      <c r="G1994" s="9">
        <f t="shared" si="41"/>
        <v>-16486516</v>
      </c>
    </row>
    <row r="1995" spans="1:7" x14ac:dyDescent="0.2">
      <c r="A1995" s="12">
        <v>45304</v>
      </c>
      <c r="C1995" s="2" t="s">
        <v>1303</v>
      </c>
      <c r="D1995" s="1" t="s">
        <v>9</v>
      </c>
      <c r="E1995" s="36">
        <v>120573</v>
      </c>
      <c r="F1995" s="36"/>
      <c r="G1995" s="9">
        <f t="shared" si="41"/>
        <v>-16365943</v>
      </c>
    </row>
    <row r="1996" spans="1:7" x14ac:dyDescent="0.2">
      <c r="A1996" s="12">
        <v>45304</v>
      </c>
      <c r="C1996" s="2" t="s">
        <v>1303</v>
      </c>
      <c r="D1996" s="1" t="s">
        <v>9</v>
      </c>
      <c r="E1996" s="36">
        <v>144000</v>
      </c>
      <c r="F1996" s="36"/>
      <c r="G1996" s="9">
        <f t="shared" si="41"/>
        <v>-16221943</v>
      </c>
    </row>
    <row r="1997" spans="1:7" x14ac:dyDescent="0.2">
      <c r="A1997" s="12">
        <v>45304</v>
      </c>
      <c r="C1997" s="2" t="s">
        <v>1304</v>
      </c>
      <c r="D1997" s="1" t="s">
        <v>9</v>
      </c>
      <c r="E1997" s="36">
        <v>16840</v>
      </c>
      <c r="F1997" s="36"/>
      <c r="G1997" s="9">
        <f t="shared" si="41"/>
        <v>-16205103</v>
      </c>
    </row>
    <row r="1998" spans="1:7" x14ac:dyDescent="0.2">
      <c r="A1998" s="12">
        <v>45304</v>
      </c>
      <c r="C1998" s="2" t="s">
        <v>1264</v>
      </c>
      <c r="D1998" s="1" t="s">
        <v>9</v>
      </c>
      <c r="E1998" s="36">
        <v>181294</v>
      </c>
      <c r="F1998" s="36"/>
      <c r="G1998" s="9">
        <f t="shared" si="41"/>
        <v>-16023809</v>
      </c>
    </row>
    <row r="1999" spans="1:7" x14ac:dyDescent="0.2">
      <c r="A1999" s="12">
        <v>45304</v>
      </c>
      <c r="C1999" s="2" t="s">
        <v>1305</v>
      </c>
      <c r="D1999" s="1" t="s">
        <v>9</v>
      </c>
      <c r="E1999" s="36">
        <v>1033238</v>
      </c>
      <c r="F1999" s="36"/>
      <c r="G1999" s="9">
        <f t="shared" si="41"/>
        <v>-14990571</v>
      </c>
    </row>
    <row r="2000" spans="1:7" x14ac:dyDescent="0.2">
      <c r="A2000" s="37">
        <v>45305</v>
      </c>
      <c r="B2000" s="35" t="s">
        <v>1308</v>
      </c>
      <c r="C2000" s="34" t="s">
        <v>1324</v>
      </c>
      <c r="D2000" s="35" t="s">
        <v>9</v>
      </c>
      <c r="E2000" s="36"/>
      <c r="F2000" s="36">
        <v>321535</v>
      </c>
      <c r="G2000" s="9">
        <f t="shared" si="41"/>
        <v>-15312106</v>
      </c>
    </row>
    <row r="2001" spans="1:9" x14ac:dyDescent="0.2">
      <c r="A2001" s="37">
        <v>45306</v>
      </c>
      <c r="B2001" s="35" t="s">
        <v>1307</v>
      </c>
      <c r="C2001" s="34" t="s">
        <v>1323</v>
      </c>
      <c r="D2001" s="35" t="s">
        <v>9</v>
      </c>
      <c r="E2001" s="36"/>
      <c r="F2001" s="36">
        <v>935000</v>
      </c>
      <c r="G2001" s="9">
        <f t="shared" si="41"/>
        <v>-16247106</v>
      </c>
    </row>
    <row r="2002" spans="1:9" x14ac:dyDescent="0.2">
      <c r="A2002" s="12">
        <v>45306</v>
      </c>
      <c r="C2002" s="2" t="s">
        <v>1309</v>
      </c>
      <c r="D2002" s="1" t="s">
        <v>9</v>
      </c>
      <c r="E2002" s="36">
        <v>1091825</v>
      </c>
      <c r="F2002" s="36"/>
      <c r="G2002" s="9">
        <f t="shared" si="41"/>
        <v>-15155281</v>
      </c>
    </row>
    <row r="2003" spans="1:9" x14ac:dyDescent="0.2">
      <c r="A2003" s="12">
        <v>45307</v>
      </c>
      <c r="C2003" s="2" t="s">
        <v>528</v>
      </c>
      <c r="D2003" s="1" t="s">
        <v>9</v>
      </c>
      <c r="E2003" s="36"/>
      <c r="F2003" s="36">
        <v>5000</v>
      </c>
      <c r="G2003" s="9">
        <f t="shared" si="41"/>
        <v>-15160281</v>
      </c>
    </row>
    <row r="2004" spans="1:9" x14ac:dyDescent="0.2">
      <c r="A2004" s="12">
        <v>45307</v>
      </c>
      <c r="C2004" s="2" t="s">
        <v>528</v>
      </c>
      <c r="D2004" s="1" t="s">
        <v>9</v>
      </c>
      <c r="E2004" s="36"/>
      <c r="F2004" s="36">
        <v>5000</v>
      </c>
      <c r="G2004" s="9">
        <f t="shared" si="41"/>
        <v>-15165281</v>
      </c>
    </row>
    <row r="2005" spans="1:9" x14ac:dyDescent="0.2">
      <c r="A2005" s="12">
        <v>45307</v>
      </c>
      <c r="C2005" s="2" t="s">
        <v>497</v>
      </c>
      <c r="D2005" s="1" t="s">
        <v>9</v>
      </c>
      <c r="E2005" s="36">
        <v>499730</v>
      </c>
      <c r="F2005" s="36"/>
      <c r="G2005" s="9">
        <f t="shared" si="41"/>
        <v>-14665551</v>
      </c>
    </row>
    <row r="2006" spans="1:9" x14ac:dyDescent="0.2">
      <c r="A2006" s="12">
        <v>45308</v>
      </c>
      <c r="C2006" s="2" t="s">
        <v>1310</v>
      </c>
      <c r="D2006" s="1" t="s">
        <v>1322</v>
      </c>
      <c r="E2006" s="36">
        <v>73219</v>
      </c>
      <c r="F2006" s="36"/>
      <c r="G2006" s="9">
        <f t="shared" si="41"/>
        <v>-14592332</v>
      </c>
    </row>
    <row r="2007" spans="1:9" x14ac:dyDescent="0.2">
      <c r="A2007" s="12">
        <v>45308</v>
      </c>
      <c r="C2007" s="2" t="s">
        <v>1311</v>
      </c>
      <c r="D2007" s="1" t="s">
        <v>9</v>
      </c>
      <c r="E2007" s="36">
        <v>1863991</v>
      </c>
      <c r="F2007" s="36"/>
      <c r="G2007" s="9">
        <f t="shared" si="41"/>
        <v>-12728341</v>
      </c>
    </row>
    <row r="2008" spans="1:9" x14ac:dyDescent="0.2">
      <c r="A2008" s="12">
        <v>45308</v>
      </c>
      <c r="C2008" s="2" t="s">
        <v>1312</v>
      </c>
      <c r="D2008" s="1" t="s">
        <v>9</v>
      </c>
      <c r="E2008" s="36">
        <v>16751</v>
      </c>
      <c r="F2008" s="36"/>
      <c r="G2008" s="9">
        <f t="shared" si="41"/>
        <v>-12711590</v>
      </c>
    </row>
    <row r="2009" spans="1:9" x14ac:dyDescent="0.2">
      <c r="A2009" s="12">
        <v>45308</v>
      </c>
      <c r="C2009" s="2" t="s">
        <v>1314</v>
      </c>
      <c r="D2009" s="1" t="s">
        <v>9</v>
      </c>
      <c r="E2009" s="36">
        <v>391571</v>
      </c>
      <c r="F2009" s="36"/>
      <c r="G2009" s="9">
        <f t="shared" si="41"/>
        <v>-12320019</v>
      </c>
    </row>
    <row r="2010" spans="1:9" x14ac:dyDescent="0.2">
      <c r="A2010" s="12">
        <v>45308</v>
      </c>
      <c r="C2010" s="2" t="s">
        <v>1315</v>
      </c>
      <c r="D2010" s="1" t="s">
        <v>9</v>
      </c>
      <c r="E2010" s="36">
        <v>75498</v>
      </c>
      <c r="F2010" s="36"/>
      <c r="G2010" s="9">
        <f t="shared" si="41"/>
        <v>-12244521</v>
      </c>
    </row>
    <row r="2011" spans="1:9" x14ac:dyDescent="0.2">
      <c r="A2011" s="12">
        <v>45308</v>
      </c>
      <c r="C2011" s="2" t="s">
        <v>1316</v>
      </c>
      <c r="D2011" s="1" t="s">
        <v>9</v>
      </c>
      <c r="E2011" s="36">
        <v>94400</v>
      </c>
      <c r="F2011" s="36"/>
      <c r="G2011" s="9">
        <f t="shared" si="41"/>
        <v>-12150121</v>
      </c>
    </row>
    <row r="2012" spans="1:9" x14ac:dyDescent="0.2">
      <c r="A2012" s="12">
        <v>45308</v>
      </c>
      <c r="C2012" s="2" t="s">
        <v>1317</v>
      </c>
      <c r="D2012" s="1" t="s">
        <v>9</v>
      </c>
      <c r="E2012" s="36">
        <v>2759</v>
      </c>
      <c r="F2012" s="36"/>
      <c r="G2012" s="9">
        <f t="shared" si="41"/>
        <v>-12147362</v>
      </c>
    </row>
    <row r="2013" spans="1:9" x14ac:dyDescent="0.2">
      <c r="A2013" s="12">
        <v>45308</v>
      </c>
      <c r="C2013" s="2" t="s">
        <v>1318</v>
      </c>
      <c r="D2013" s="1" t="s">
        <v>9</v>
      </c>
      <c r="E2013" s="36">
        <v>222165</v>
      </c>
      <c r="F2013" s="36"/>
      <c r="G2013" s="9">
        <f t="shared" si="41"/>
        <v>-11925197</v>
      </c>
      <c r="I2013" s="3"/>
    </row>
    <row r="2014" spans="1:9" x14ac:dyDescent="0.2">
      <c r="A2014" s="12">
        <v>45308</v>
      </c>
      <c r="C2014" s="2" t="s">
        <v>1319</v>
      </c>
      <c r="D2014" s="1" t="s">
        <v>9</v>
      </c>
      <c r="E2014" s="36">
        <v>193130</v>
      </c>
      <c r="F2014" s="36"/>
      <c r="G2014" s="9">
        <f t="shared" si="41"/>
        <v>-11732067</v>
      </c>
    </row>
    <row r="2015" spans="1:9" x14ac:dyDescent="0.2">
      <c r="A2015" s="12">
        <v>45308</v>
      </c>
      <c r="C2015" s="2" t="s">
        <v>1319</v>
      </c>
      <c r="D2015" s="1" t="s">
        <v>9</v>
      </c>
      <c r="E2015" s="36">
        <v>750568</v>
      </c>
      <c r="F2015" s="36"/>
      <c r="G2015" s="9">
        <f t="shared" si="41"/>
        <v>-10981499</v>
      </c>
    </row>
    <row r="2016" spans="1:9" x14ac:dyDescent="0.2">
      <c r="A2016" s="12">
        <v>45308</v>
      </c>
      <c r="C2016" s="2" t="s">
        <v>1320</v>
      </c>
      <c r="D2016" s="1" t="s">
        <v>9</v>
      </c>
      <c r="E2016" s="36">
        <v>320530</v>
      </c>
      <c r="F2016" s="36"/>
      <c r="G2016" s="9">
        <f t="shared" si="41"/>
        <v>-10660969</v>
      </c>
      <c r="I2016" s="3"/>
    </row>
    <row r="2017" spans="1:9" x14ac:dyDescent="0.2">
      <c r="A2017" s="12">
        <v>45309</v>
      </c>
      <c r="C2017" s="2" t="s">
        <v>1071</v>
      </c>
      <c r="D2017" s="1" t="s">
        <v>9</v>
      </c>
      <c r="E2017" s="36">
        <v>75366</v>
      </c>
      <c r="F2017" s="36"/>
      <c r="G2017" s="9">
        <f t="shared" si="41"/>
        <v>-10585603</v>
      </c>
    </row>
    <row r="2018" spans="1:9" x14ac:dyDescent="0.2">
      <c r="A2018" s="12">
        <v>45310</v>
      </c>
      <c r="C2018" s="2" t="s">
        <v>1321</v>
      </c>
      <c r="D2018" s="1" t="s">
        <v>9</v>
      </c>
      <c r="E2018" s="36">
        <v>1123093</v>
      </c>
      <c r="F2018" s="36"/>
      <c r="G2018" s="9">
        <f t="shared" si="41"/>
        <v>-9462510</v>
      </c>
    </row>
    <row r="2019" spans="1:9" x14ac:dyDescent="0.2">
      <c r="A2019" s="12">
        <v>45310</v>
      </c>
      <c r="C2019" s="2" t="s">
        <v>18</v>
      </c>
      <c r="D2019" s="1" t="s">
        <v>9</v>
      </c>
      <c r="E2019" s="36">
        <v>173400</v>
      </c>
      <c r="F2019" s="36"/>
      <c r="G2019" s="9">
        <f t="shared" si="41"/>
        <v>-9289110</v>
      </c>
    </row>
    <row r="2020" spans="1:9" x14ac:dyDescent="0.2">
      <c r="A2020" s="12">
        <v>45310</v>
      </c>
      <c r="C2020" s="2" t="s">
        <v>18</v>
      </c>
      <c r="D2020" s="1" t="s">
        <v>9</v>
      </c>
      <c r="E2020" s="36">
        <v>37275</v>
      </c>
      <c r="F2020" s="36"/>
      <c r="G2020" s="9">
        <f t="shared" si="41"/>
        <v>-9251835</v>
      </c>
    </row>
    <row r="2021" spans="1:9" x14ac:dyDescent="0.2">
      <c r="A2021" s="12">
        <v>45315</v>
      </c>
      <c r="C2021" s="18" t="s">
        <v>1326</v>
      </c>
      <c r="D2021" s="1" t="s">
        <v>9</v>
      </c>
      <c r="E2021" s="36"/>
      <c r="F2021" s="36">
        <f>2141023</f>
        <v>2141023</v>
      </c>
      <c r="G2021" s="9">
        <f t="shared" si="41"/>
        <v>-11392858</v>
      </c>
      <c r="I2021" s="24"/>
    </row>
    <row r="2022" spans="1:9" x14ac:dyDescent="0.2">
      <c r="A2022" s="12">
        <v>45315</v>
      </c>
      <c r="C2022" s="2" t="s">
        <v>1327</v>
      </c>
      <c r="D2022" s="1" t="s">
        <v>9</v>
      </c>
      <c r="E2022" s="36"/>
      <c r="F2022" s="36">
        <v>1123093</v>
      </c>
      <c r="G2022" s="9">
        <f t="shared" si="41"/>
        <v>-12515951</v>
      </c>
    </row>
    <row r="2023" spans="1:9" x14ac:dyDescent="0.2">
      <c r="A2023" s="12">
        <v>45316</v>
      </c>
      <c r="C2023" s="2" t="s">
        <v>1328</v>
      </c>
      <c r="D2023" s="1" t="s">
        <v>9</v>
      </c>
      <c r="E2023" s="36">
        <v>470159</v>
      </c>
      <c r="F2023" s="36"/>
      <c r="G2023" s="9">
        <f t="shared" si="41"/>
        <v>-12045792</v>
      </c>
    </row>
    <row r="2024" spans="1:9" x14ac:dyDescent="0.2">
      <c r="A2024" s="12">
        <v>45316</v>
      </c>
      <c r="C2024" s="2" t="s">
        <v>1329</v>
      </c>
      <c r="D2024" s="1" t="s">
        <v>9</v>
      </c>
      <c r="E2024" s="36">
        <v>438116</v>
      </c>
      <c r="F2024" s="36"/>
      <c r="G2024" s="9">
        <f t="shared" si="41"/>
        <v>-11607676</v>
      </c>
    </row>
    <row r="2025" spans="1:9" x14ac:dyDescent="0.2">
      <c r="A2025" s="12">
        <v>45316</v>
      </c>
      <c r="C2025" s="2" t="s">
        <v>1330</v>
      </c>
      <c r="D2025" s="1" t="s">
        <v>9</v>
      </c>
      <c r="E2025" s="36">
        <v>75554</v>
      </c>
      <c r="F2025" s="36"/>
      <c r="G2025" s="9">
        <f t="shared" si="41"/>
        <v>-11532122</v>
      </c>
    </row>
    <row r="2026" spans="1:9" x14ac:dyDescent="0.2">
      <c r="A2026" s="12">
        <v>45316</v>
      </c>
      <c r="C2026" s="2" t="s">
        <v>1333</v>
      </c>
      <c r="D2026" s="1" t="s">
        <v>9</v>
      </c>
      <c r="E2026" s="36">
        <v>90666</v>
      </c>
      <c r="F2026" s="36"/>
      <c r="G2026" s="9">
        <f t="shared" si="41"/>
        <v>-11441456</v>
      </c>
    </row>
    <row r="2027" spans="1:9" x14ac:dyDescent="0.2">
      <c r="A2027" s="12">
        <v>45316</v>
      </c>
      <c r="C2027" s="2" t="s">
        <v>1331</v>
      </c>
      <c r="D2027" s="1" t="s">
        <v>9</v>
      </c>
      <c r="E2027" s="36">
        <v>46298</v>
      </c>
      <c r="F2027" s="36"/>
      <c r="G2027" s="9">
        <f t="shared" si="41"/>
        <v>-11395158</v>
      </c>
    </row>
    <row r="2028" spans="1:9" x14ac:dyDescent="0.2">
      <c r="A2028" s="12">
        <v>45316</v>
      </c>
      <c r="C2028" s="2" t="s">
        <v>1334</v>
      </c>
      <c r="D2028" s="1" t="s">
        <v>9</v>
      </c>
      <c r="E2028" s="36">
        <v>1479295</v>
      </c>
      <c r="F2028" s="36"/>
      <c r="G2028" s="9">
        <f t="shared" si="41"/>
        <v>-9915863</v>
      </c>
    </row>
    <row r="2029" spans="1:9" x14ac:dyDescent="0.2">
      <c r="A2029" s="12">
        <v>45316</v>
      </c>
      <c r="C2029" s="2" t="s">
        <v>1332</v>
      </c>
      <c r="D2029" s="1" t="s">
        <v>9</v>
      </c>
      <c r="E2029" s="36">
        <v>171854</v>
      </c>
      <c r="F2029" s="36"/>
      <c r="G2029" s="9">
        <f t="shared" si="41"/>
        <v>-9744009</v>
      </c>
    </row>
    <row r="2030" spans="1:9" x14ac:dyDescent="0.2">
      <c r="A2030" s="12">
        <v>45316</v>
      </c>
      <c r="C2030" s="34" t="s">
        <v>27</v>
      </c>
      <c r="D2030" s="35" t="s">
        <v>9</v>
      </c>
      <c r="E2030" s="36"/>
      <c r="F2030" s="36">
        <v>150000</v>
      </c>
      <c r="G2030" s="9">
        <f t="shared" si="41"/>
        <v>-9894009</v>
      </c>
    </row>
    <row r="2031" spans="1:9" x14ac:dyDescent="0.2">
      <c r="A2031" s="12">
        <v>45320</v>
      </c>
      <c r="C2031" s="2" t="s">
        <v>35</v>
      </c>
      <c r="D2031" s="1" t="s">
        <v>9</v>
      </c>
      <c r="E2031" s="36"/>
      <c r="F2031" s="36">
        <v>6600</v>
      </c>
      <c r="G2031" s="9">
        <f t="shared" si="41"/>
        <v>-9900609</v>
      </c>
    </row>
    <row r="2032" spans="1:9" x14ac:dyDescent="0.2">
      <c r="A2032" s="12">
        <v>45320</v>
      </c>
      <c r="C2032" s="2" t="s">
        <v>1335</v>
      </c>
      <c r="D2032" s="1" t="s">
        <v>9</v>
      </c>
      <c r="E2032" s="36"/>
      <c r="F2032" s="36">
        <v>1917</v>
      </c>
      <c r="G2032" s="9">
        <f t="shared" si="41"/>
        <v>-9902526</v>
      </c>
    </row>
    <row r="2033" spans="1:11" x14ac:dyDescent="0.2">
      <c r="A2033" s="12">
        <v>45320</v>
      </c>
      <c r="C2033" s="2" t="s">
        <v>10</v>
      </c>
      <c r="D2033" s="1" t="s">
        <v>9</v>
      </c>
      <c r="E2033" s="36">
        <v>1123093</v>
      </c>
      <c r="F2033" s="36"/>
      <c r="G2033" s="9">
        <f t="shared" si="41"/>
        <v>-8779433</v>
      </c>
    </row>
    <row r="2034" spans="1:11" x14ac:dyDescent="0.2">
      <c r="A2034" s="12">
        <v>45321</v>
      </c>
      <c r="C2034" s="2" t="s">
        <v>137</v>
      </c>
      <c r="D2034" s="1" t="s">
        <v>9</v>
      </c>
      <c r="E2034" s="36">
        <v>369488</v>
      </c>
      <c r="F2034" s="36"/>
      <c r="G2034" s="9">
        <f t="shared" si="41"/>
        <v>-8409945</v>
      </c>
    </row>
    <row r="2035" spans="1:11" x14ac:dyDescent="0.2">
      <c r="A2035" s="12">
        <v>45322</v>
      </c>
      <c r="C2035" s="18" t="s">
        <v>1336</v>
      </c>
      <c r="D2035" s="1" t="s">
        <v>9</v>
      </c>
      <c r="E2035" s="36"/>
      <c r="F2035" s="36">
        <v>1000000</v>
      </c>
      <c r="G2035" s="9">
        <f t="shared" si="41"/>
        <v>-9409945</v>
      </c>
    </row>
    <row r="2036" spans="1:11" x14ac:dyDescent="0.2">
      <c r="A2036" s="12">
        <v>45322</v>
      </c>
      <c r="C2036" s="2" t="s">
        <v>34</v>
      </c>
      <c r="D2036" s="1" t="s">
        <v>9</v>
      </c>
      <c r="E2036" s="36"/>
      <c r="F2036" s="36">
        <v>138</v>
      </c>
      <c r="G2036" s="9">
        <f t="shared" si="41"/>
        <v>-9410083</v>
      </c>
    </row>
    <row r="2037" spans="1:11" x14ac:dyDescent="0.2">
      <c r="A2037" s="12">
        <v>45322</v>
      </c>
      <c r="C2037" s="18" t="s">
        <v>1336</v>
      </c>
      <c r="D2037" s="1" t="s">
        <v>9</v>
      </c>
      <c r="E2037" s="36"/>
      <c r="F2037" s="36">
        <v>2863555</v>
      </c>
      <c r="G2037" s="9">
        <f t="shared" si="41"/>
        <v>-12273638</v>
      </c>
    </row>
    <row r="2038" spans="1:11" x14ac:dyDescent="0.2">
      <c r="A2038" s="12">
        <v>45322</v>
      </c>
      <c r="C2038" s="2" t="s">
        <v>34</v>
      </c>
      <c r="D2038" s="1" t="s">
        <v>9</v>
      </c>
      <c r="E2038" s="36"/>
      <c r="F2038" s="36">
        <v>275</v>
      </c>
      <c r="G2038" s="9">
        <f t="shared" ref="G2038:G2098" si="42">G2037+E2038-F2038</f>
        <v>-12273913</v>
      </c>
    </row>
    <row r="2039" spans="1:11" x14ac:dyDescent="0.2">
      <c r="A2039" s="37">
        <v>45322</v>
      </c>
      <c r="B2039" s="35" t="s">
        <v>1337</v>
      </c>
      <c r="C2039" s="34" t="s">
        <v>1338</v>
      </c>
      <c r="D2039" s="35" t="s">
        <v>9</v>
      </c>
      <c r="E2039" s="36"/>
      <c r="F2039" s="36">
        <v>2058804</v>
      </c>
      <c r="G2039" s="9">
        <f t="shared" si="42"/>
        <v>-14332717</v>
      </c>
      <c r="I2039" s="24">
        <v>-14722580</v>
      </c>
      <c r="J2039" s="24"/>
      <c r="K2039" s="4"/>
    </row>
    <row r="2040" spans="1:11" x14ac:dyDescent="0.2">
      <c r="A2040" s="12">
        <v>45322</v>
      </c>
      <c r="B2040" s="35"/>
      <c r="C2040" s="44" t="s">
        <v>1426</v>
      </c>
      <c r="D2040" s="45" t="s">
        <v>9</v>
      </c>
      <c r="E2040" s="36"/>
      <c r="F2040" s="36">
        <v>208816</v>
      </c>
      <c r="G2040" s="9">
        <f t="shared" si="42"/>
        <v>-14541533</v>
      </c>
      <c r="I2040" s="9">
        <f>I2039+E1686</f>
        <v>-14541533</v>
      </c>
      <c r="J2040" s="4"/>
    </row>
    <row r="2041" spans="1:11" s="28" customFormat="1" ht="15.75" x14ac:dyDescent="0.25">
      <c r="A2041" s="10" t="s">
        <v>1346</v>
      </c>
      <c r="B2041" s="1"/>
      <c r="C2041" s="2"/>
      <c r="D2041" s="1"/>
      <c r="E2041" s="3"/>
      <c r="F2041" s="3"/>
      <c r="G2041" s="9"/>
      <c r="H2041" s="27"/>
      <c r="I2041" s="26">
        <f>I2040-G2040</f>
        <v>0</v>
      </c>
      <c r="J2041" s="46"/>
    </row>
    <row r="2042" spans="1:11" s="28" customFormat="1" x14ac:dyDescent="0.2">
      <c r="A2042" s="11" t="s">
        <v>2</v>
      </c>
      <c r="B2042" s="5" t="s">
        <v>1</v>
      </c>
      <c r="C2042" s="5" t="s">
        <v>3</v>
      </c>
      <c r="D2042" s="5"/>
      <c r="E2042" s="7" t="s">
        <v>4</v>
      </c>
      <c r="F2042" s="7" t="s">
        <v>6</v>
      </c>
      <c r="G2042" s="8" t="s">
        <v>5</v>
      </c>
      <c r="H2042" s="27"/>
      <c r="I2042" s="26"/>
    </row>
    <row r="2043" spans="1:11" x14ac:dyDescent="0.2">
      <c r="A2043" s="12">
        <v>45323</v>
      </c>
      <c r="C2043" s="2" t="s">
        <v>1093</v>
      </c>
      <c r="D2043" s="1" t="s">
        <v>9</v>
      </c>
      <c r="E2043" s="36">
        <v>8726</v>
      </c>
      <c r="F2043" s="36"/>
      <c r="G2043" s="9">
        <f>G2040+E2043-F2043</f>
        <v>-14532807</v>
      </c>
      <c r="J2043" s="4"/>
    </row>
    <row r="2044" spans="1:11" x14ac:dyDescent="0.2">
      <c r="A2044" s="12">
        <v>45323</v>
      </c>
      <c r="C2044" s="2" t="s">
        <v>906</v>
      </c>
      <c r="D2044" s="1" t="s">
        <v>9</v>
      </c>
      <c r="E2044" s="36">
        <v>18807</v>
      </c>
      <c r="F2044" s="36"/>
      <c r="G2044" s="9">
        <f t="shared" si="42"/>
        <v>-14514000</v>
      </c>
    </row>
    <row r="2045" spans="1:11" x14ac:dyDescent="0.2">
      <c r="A2045" s="12">
        <v>45324</v>
      </c>
      <c r="C2045" s="2" t="s">
        <v>35</v>
      </c>
      <c r="D2045" s="1" t="s">
        <v>9</v>
      </c>
      <c r="E2045" s="36"/>
      <c r="F2045" s="36">
        <v>6600</v>
      </c>
      <c r="G2045" s="9">
        <f t="shared" si="42"/>
        <v>-14520600</v>
      </c>
    </row>
    <row r="2046" spans="1:11" x14ac:dyDescent="0.2">
      <c r="A2046" s="12">
        <v>45324</v>
      </c>
      <c r="C2046" s="2" t="s">
        <v>61</v>
      </c>
      <c r="D2046" s="1" t="s">
        <v>9</v>
      </c>
      <c r="E2046" s="36">
        <v>7672423</v>
      </c>
      <c r="F2046" s="36"/>
      <c r="G2046" s="9">
        <f t="shared" si="42"/>
        <v>-6848177</v>
      </c>
    </row>
    <row r="2047" spans="1:11" x14ac:dyDescent="0.2">
      <c r="A2047" s="12">
        <v>45325</v>
      </c>
      <c r="C2047" s="18" t="s">
        <v>1340</v>
      </c>
      <c r="D2047" s="1" t="s">
        <v>9</v>
      </c>
      <c r="E2047" s="36"/>
      <c r="F2047" s="36">
        <f>2029718</f>
        <v>2029718</v>
      </c>
      <c r="G2047" s="9">
        <f t="shared" si="42"/>
        <v>-8877895</v>
      </c>
    </row>
    <row r="2048" spans="1:11" x14ac:dyDescent="0.2">
      <c r="A2048" s="12">
        <v>45325</v>
      </c>
      <c r="C2048" s="18" t="s">
        <v>1341</v>
      </c>
      <c r="D2048" s="1" t="s">
        <v>9</v>
      </c>
      <c r="E2048" s="36"/>
      <c r="F2048" s="36">
        <f>509597</f>
        <v>509597</v>
      </c>
      <c r="G2048" s="9">
        <f t="shared" si="42"/>
        <v>-9387492</v>
      </c>
    </row>
    <row r="2049" spans="1:7" x14ac:dyDescent="0.2">
      <c r="A2049" s="12">
        <v>45325</v>
      </c>
      <c r="C2049" s="2" t="s">
        <v>1227</v>
      </c>
      <c r="D2049" s="1" t="s">
        <v>9</v>
      </c>
      <c r="E2049" s="36">
        <v>43551</v>
      </c>
      <c r="F2049" s="36"/>
      <c r="G2049" s="9">
        <f t="shared" si="42"/>
        <v>-9343941</v>
      </c>
    </row>
    <row r="2050" spans="1:7" x14ac:dyDescent="0.2">
      <c r="A2050" s="12">
        <v>45325</v>
      </c>
      <c r="C2050" s="2" t="s">
        <v>1342</v>
      </c>
      <c r="D2050" s="1" t="s">
        <v>9</v>
      </c>
      <c r="E2050" s="36">
        <v>60593</v>
      </c>
      <c r="F2050" s="36"/>
      <c r="G2050" s="9">
        <f t="shared" si="42"/>
        <v>-9283348</v>
      </c>
    </row>
    <row r="2051" spans="1:7" x14ac:dyDescent="0.2">
      <c r="A2051" s="12">
        <v>45325</v>
      </c>
      <c r="C2051" s="2" t="s">
        <v>1342</v>
      </c>
      <c r="D2051" s="1" t="s">
        <v>9</v>
      </c>
      <c r="E2051" s="36">
        <v>59389</v>
      </c>
      <c r="F2051" s="36"/>
      <c r="G2051" s="9">
        <f t="shared" si="42"/>
        <v>-9223959</v>
      </c>
    </row>
    <row r="2052" spans="1:7" x14ac:dyDescent="0.2">
      <c r="A2052" s="12">
        <v>45325</v>
      </c>
      <c r="C2052" s="2" t="s">
        <v>1342</v>
      </c>
      <c r="D2052" s="1" t="s">
        <v>9</v>
      </c>
      <c r="E2052" s="36">
        <v>169195</v>
      </c>
      <c r="F2052" s="36"/>
      <c r="G2052" s="9">
        <f t="shared" si="42"/>
        <v>-9054764</v>
      </c>
    </row>
    <row r="2053" spans="1:7" x14ac:dyDescent="0.2">
      <c r="A2053" s="12">
        <v>45325</v>
      </c>
      <c r="C2053" s="2" t="s">
        <v>1342</v>
      </c>
      <c r="D2053" s="1" t="s">
        <v>9</v>
      </c>
      <c r="E2053" s="36">
        <v>115552</v>
      </c>
      <c r="F2053" s="36"/>
      <c r="G2053" s="9">
        <f t="shared" si="42"/>
        <v>-8939212</v>
      </c>
    </row>
    <row r="2054" spans="1:7" x14ac:dyDescent="0.2">
      <c r="A2054" s="12">
        <v>45325</v>
      </c>
      <c r="C2054" s="2" t="s">
        <v>1343</v>
      </c>
      <c r="D2054" s="1" t="s">
        <v>9</v>
      </c>
      <c r="E2054" s="36">
        <v>576938</v>
      </c>
      <c r="F2054" s="36"/>
      <c r="G2054" s="9">
        <f t="shared" si="42"/>
        <v>-8362274</v>
      </c>
    </row>
    <row r="2055" spans="1:7" x14ac:dyDescent="0.2">
      <c r="A2055" s="12">
        <v>45325</v>
      </c>
      <c r="C2055" s="2" t="s">
        <v>1344</v>
      </c>
      <c r="D2055" s="1" t="s">
        <v>9</v>
      </c>
      <c r="E2055" s="36">
        <v>399043</v>
      </c>
      <c r="F2055" s="36"/>
      <c r="G2055" s="9">
        <f t="shared" si="42"/>
        <v>-7963231</v>
      </c>
    </row>
    <row r="2056" spans="1:7" x14ac:dyDescent="0.2">
      <c r="A2056" s="12">
        <v>45325</v>
      </c>
      <c r="C2056" s="2" t="s">
        <v>1345</v>
      </c>
      <c r="D2056" s="1" t="s">
        <v>9</v>
      </c>
      <c r="E2056" s="36">
        <v>1219474</v>
      </c>
      <c r="F2056" s="36"/>
      <c r="G2056" s="9">
        <f t="shared" si="42"/>
        <v>-6743757</v>
      </c>
    </row>
    <row r="2057" spans="1:7" x14ac:dyDescent="0.2">
      <c r="A2057" s="12">
        <v>45325</v>
      </c>
      <c r="C2057" s="2" t="s">
        <v>1339</v>
      </c>
      <c r="D2057" s="1" t="s">
        <v>9</v>
      </c>
      <c r="E2057" s="36">
        <v>245794</v>
      </c>
      <c r="F2057" s="36"/>
      <c r="G2057" s="9">
        <f t="shared" si="42"/>
        <v>-6497963</v>
      </c>
    </row>
    <row r="2058" spans="1:7" x14ac:dyDescent="0.2">
      <c r="A2058" s="12">
        <v>45327</v>
      </c>
      <c r="C2058" s="2" t="s">
        <v>137</v>
      </c>
      <c r="D2058" s="1" t="s">
        <v>9</v>
      </c>
      <c r="E2058" s="36">
        <v>80889</v>
      </c>
      <c r="F2058" s="36"/>
      <c r="G2058" s="9">
        <f t="shared" si="42"/>
        <v>-6417074</v>
      </c>
    </row>
    <row r="2059" spans="1:7" x14ac:dyDescent="0.2">
      <c r="A2059" s="12">
        <v>45327</v>
      </c>
      <c r="C2059" s="2" t="s">
        <v>165</v>
      </c>
      <c r="D2059" s="1" t="s">
        <v>9</v>
      </c>
      <c r="E2059" s="36">
        <v>41196</v>
      </c>
      <c r="F2059" s="36"/>
      <c r="G2059" s="9">
        <f t="shared" si="42"/>
        <v>-6375878</v>
      </c>
    </row>
    <row r="2060" spans="1:7" x14ac:dyDescent="0.2">
      <c r="A2060" s="12">
        <v>45328</v>
      </c>
      <c r="C2060" s="2" t="s">
        <v>1362</v>
      </c>
      <c r="D2060" s="1" t="s">
        <v>9</v>
      </c>
      <c r="E2060" s="36"/>
      <c r="F2060" s="36">
        <v>487589</v>
      </c>
      <c r="G2060" s="9">
        <f t="shared" si="42"/>
        <v>-6863467</v>
      </c>
    </row>
    <row r="2061" spans="1:7" x14ac:dyDescent="0.2">
      <c r="A2061" s="12">
        <v>45328</v>
      </c>
      <c r="C2061" s="34" t="s">
        <v>1355</v>
      </c>
      <c r="D2061" s="1" t="s">
        <v>9</v>
      </c>
      <c r="E2061" s="36">
        <v>88434</v>
      </c>
      <c r="F2061" s="36"/>
      <c r="G2061" s="9">
        <f t="shared" si="42"/>
        <v>-6775033</v>
      </c>
    </row>
    <row r="2062" spans="1:7" x14ac:dyDescent="0.2">
      <c r="A2062" s="12">
        <v>45328</v>
      </c>
      <c r="C2062" s="34" t="s">
        <v>115</v>
      </c>
      <c r="D2062" s="1" t="s">
        <v>9</v>
      </c>
      <c r="E2062" s="36">
        <v>49383</v>
      </c>
      <c r="F2062" s="36"/>
      <c r="G2062" s="9">
        <f t="shared" si="42"/>
        <v>-6725650</v>
      </c>
    </row>
    <row r="2063" spans="1:7" x14ac:dyDescent="0.2">
      <c r="A2063" s="12">
        <v>45328</v>
      </c>
      <c r="C2063" s="34" t="s">
        <v>115</v>
      </c>
      <c r="D2063" s="1" t="s">
        <v>9</v>
      </c>
      <c r="E2063" s="36">
        <v>361080</v>
      </c>
      <c r="F2063" s="36"/>
      <c r="G2063" s="9">
        <f t="shared" si="42"/>
        <v>-6364570</v>
      </c>
    </row>
    <row r="2064" spans="1:7" x14ac:dyDescent="0.2">
      <c r="A2064" s="12">
        <v>45328</v>
      </c>
      <c r="C2064" s="34" t="s">
        <v>1356</v>
      </c>
      <c r="D2064" s="1" t="s">
        <v>9</v>
      </c>
      <c r="E2064" s="36">
        <v>70330</v>
      </c>
      <c r="F2064" s="36"/>
      <c r="G2064" s="9">
        <f t="shared" si="42"/>
        <v>-6294240</v>
      </c>
    </row>
    <row r="2065" spans="1:9" x14ac:dyDescent="0.2">
      <c r="A2065" s="12">
        <v>45328</v>
      </c>
      <c r="C2065" s="34" t="s">
        <v>1357</v>
      </c>
      <c r="D2065" s="1" t="s">
        <v>9</v>
      </c>
      <c r="E2065" s="36">
        <v>1860089</v>
      </c>
      <c r="F2065" s="36"/>
      <c r="G2065" s="9">
        <f t="shared" si="42"/>
        <v>-4434151</v>
      </c>
    </row>
    <row r="2066" spans="1:9" x14ac:dyDescent="0.2">
      <c r="A2066" s="12">
        <v>45328</v>
      </c>
      <c r="C2066" s="34" t="s">
        <v>1358</v>
      </c>
      <c r="D2066" s="1" t="s">
        <v>9</v>
      </c>
      <c r="E2066" s="36">
        <v>237505</v>
      </c>
      <c r="F2066" s="36"/>
      <c r="G2066" s="9">
        <f t="shared" si="42"/>
        <v>-4196646</v>
      </c>
    </row>
    <row r="2067" spans="1:9" x14ac:dyDescent="0.2">
      <c r="A2067" s="12">
        <v>45328</v>
      </c>
      <c r="C2067" s="34" t="s">
        <v>1359</v>
      </c>
      <c r="D2067" s="1" t="s">
        <v>9</v>
      </c>
      <c r="E2067" s="36">
        <v>646233</v>
      </c>
      <c r="F2067" s="36"/>
      <c r="G2067" s="9">
        <f t="shared" si="42"/>
        <v>-3550413</v>
      </c>
    </row>
    <row r="2068" spans="1:9" x14ac:dyDescent="0.2">
      <c r="A2068" s="12">
        <v>45328</v>
      </c>
      <c r="C2068" s="34" t="s">
        <v>1356</v>
      </c>
      <c r="D2068" s="1" t="s">
        <v>9</v>
      </c>
      <c r="E2068" s="36">
        <v>138532</v>
      </c>
      <c r="F2068" s="36"/>
      <c r="G2068" s="9">
        <f t="shared" si="42"/>
        <v>-3411881</v>
      </c>
    </row>
    <row r="2069" spans="1:9" x14ac:dyDescent="0.2">
      <c r="A2069" s="12">
        <v>45328</v>
      </c>
      <c r="C2069" s="34" t="s">
        <v>1360</v>
      </c>
      <c r="D2069" s="1" t="s">
        <v>9</v>
      </c>
      <c r="E2069" s="36">
        <v>47743</v>
      </c>
      <c r="F2069" s="36"/>
      <c r="G2069" s="9">
        <f t="shared" si="42"/>
        <v>-3364138</v>
      </c>
    </row>
    <row r="2070" spans="1:9" x14ac:dyDescent="0.2">
      <c r="A2070" s="12">
        <v>45328</v>
      </c>
      <c r="C2070" s="34" t="s">
        <v>55</v>
      </c>
      <c r="D2070" s="1" t="s">
        <v>9</v>
      </c>
      <c r="E2070" s="36">
        <v>69508</v>
      </c>
      <c r="F2070" s="36"/>
      <c r="G2070" s="9">
        <f t="shared" si="42"/>
        <v>-3294630</v>
      </c>
    </row>
    <row r="2071" spans="1:9" x14ac:dyDescent="0.2">
      <c r="A2071" s="12">
        <v>45328</v>
      </c>
      <c r="C2071" s="34" t="s">
        <v>1361</v>
      </c>
      <c r="D2071" s="1" t="s">
        <v>9</v>
      </c>
      <c r="E2071" s="36">
        <v>62481</v>
      </c>
      <c r="F2071" s="36"/>
      <c r="G2071" s="9">
        <f t="shared" si="42"/>
        <v>-3232149</v>
      </c>
    </row>
    <row r="2072" spans="1:9" x14ac:dyDescent="0.2">
      <c r="A2072" s="37">
        <v>45330</v>
      </c>
      <c r="B2072" s="35"/>
      <c r="C2072" s="34" t="s">
        <v>1417</v>
      </c>
      <c r="D2072" s="35" t="s">
        <v>9</v>
      </c>
      <c r="E2072" s="36"/>
      <c r="F2072" s="36">
        <v>88434</v>
      </c>
      <c r="G2072" s="9">
        <f t="shared" si="42"/>
        <v>-3320583</v>
      </c>
    </row>
    <row r="2073" spans="1:9" x14ac:dyDescent="0.2">
      <c r="A2073" s="37">
        <v>45330</v>
      </c>
      <c r="B2073" s="35"/>
      <c r="C2073" s="34" t="s">
        <v>1418</v>
      </c>
      <c r="D2073" s="35" t="s">
        <v>9</v>
      </c>
      <c r="E2073" s="36"/>
      <c r="F2073" s="36">
        <v>6600</v>
      </c>
      <c r="G2073" s="9">
        <f t="shared" si="42"/>
        <v>-3327183</v>
      </c>
    </row>
    <row r="2074" spans="1:9" s="28" customFormat="1" x14ac:dyDescent="0.2">
      <c r="A2074" s="20">
        <v>45330</v>
      </c>
      <c r="B2074" s="21"/>
      <c r="C2074" s="22" t="s">
        <v>148</v>
      </c>
      <c r="D2074" s="21" t="s">
        <v>9</v>
      </c>
      <c r="E2074" s="36">
        <v>117226</v>
      </c>
      <c r="F2074" s="36"/>
      <c r="G2074" s="9">
        <f t="shared" si="42"/>
        <v>-3209957</v>
      </c>
      <c r="H2074" s="27"/>
      <c r="I2074" s="26"/>
    </row>
    <row r="2075" spans="1:9" x14ac:dyDescent="0.2">
      <c r="A2075" s="12">
        <v>45330</v>
      </c>
      <c r="C2075" s="2" t="s">
        <v>1351</v>
      </c>
      <c r="D2075" s="1" t="s">
        <v>9</v>
      </c>
      <c r="E2075" s="36">
        <v>62186</v>
      </c>
      <c r="F2075" s="36"/>
      <c r="G2075" s="9">
        <f t="shared" si="42"/>
        <v>-3147771</v>
      </c>
    </row>
    <row r="2076" spans="1:9" x14ac:dyDescent="0.2">
      <c r="A2076" s="12">
        <v>45330</v>
      </c>
      <c r="C2076" s="2" t="s">
        <v>1352</v>
      </c>
      <c r="D2076" s="1" t="s">
        <v>9</v>
      </c>
      <c r="E2076" s="36">
        <v>717372</v>
      </c>
      <c r="F2076" s="36"/>
      <c r="G2076" s="9">
        <f t="shared" si="42"/>
        <v>-2430399</v>
      </c>
    </row>
    <row r="2077" spans="1:9" x14ac:dyDescent="0.2">
      <c r="A2077" s="12">
        <v>45330</v>
      </c>
      <c r="C2077" s="2" t="s">
        <v>1353</v>
      </c>
      <c r="D2077" s="1" t="s">
        <v>9</v>
      </c>
      <c r="E2077" s="36">
        <v>782000</v>
      </c>
      <c r="F2077" s="36"/>
      <c r="G2077" s="9">
        <f t="shared" si="42"/>
        <v>-1648399</v>
      </c>
    </row>
    <row r="2078" spans="1:9" x14ac:dyDescent="0.2">
      <c r="A2078" s="12">
        <v>45330</v>
      </c>
      <c r="C2078" s="2" t="s">
        <v>1354</v>
      </c>
      <c r="D2078" s="1" t="s">
        <v>9</v>
      </c>
      <c r="E2078" s="36">
        <v>21334</v>
      </c>
      <c r="F2078" s="36"/>
      <c r="G2078" s="9">
        <f t="shared" si="42"/>
        <v>-1627065</v>
      </c>
    </row>
    <row r="2079" spans="1:9" x14ac:dyDescent="0.2">
      <c r="A2079" s="12">
        <v>45330</v>
      </c>
      <c r="C2079" s="2" t="s">
        <v>419</v>
      </c>
      <c r="D2079" s="1" t="s">
        <v>9</v>
      </c>
      <c r="E2079" s="36">
        <v>511835</v>
      </c>
      <c r="F2079" s="36"/>
      <c r="G2079" s="9">
        <f t="shared" si="42"/>
        <v>-1115230</v>
      </c>
    </row>
    <row r="2080" spans="1:9" x14ac:dyDescent="0.2">
      <c r="A2080" s="37">
        <v>45331</v>
      </c>
      <c r="B2080" s="35" t="s">
        <v>1364</v>
      </c>
      <c r="C2080" s="34" t="s">
        <v>1456</v>
      </c>
      <c r="D2080" s="35" t="s">
        <v>9</v>
      </c>
      <c r="E2080" s="36"/>
      <c r="F2080" s="36">
        <v>935000</v>
      </c>
      <c r="G2080" s="9">
        <f t="shared" si="42"/>
        <v>-2050230</v>
      </c>
    </row>
    <row r="2081" spans="1:9" x14ac:dyDescent="0.2">
      <c r="A2081" s="12">
        <v>45331</v>
      </c>
      <c r="C2081" s="2" t="s">
        <v>906</v>
      </c>
      <c r="D2081" s="1" t="s">
        <v>9</v>
      </c>
      <c r="E2081" s="36">
        <v>44560</v>
      </c>
      <c r="F2081" s="36"/>
      <c r="G2081" s="9">
        <f t="shared" si="42"/>
        <v>-2005670</v>
      </c>
    </row>
    <row r="2082" spans="1:9" x14ac:dyDescent="0.2">
      <c r="A2082" s="12">
        <v>45331</v>
      </c>
      <c r="C2082" s="2" t="s">
        <v>165</v>
      </c>
      <c r="D2082" s="1" t="s">
        <v>9</v>
      </c>
      <c r="E2082" s="36">
        <v>1238408</v>
      </c>
      <c r="F2082" s="36"/>
      <c r="G2082" s="9">
        <f t="shared" si="42"/>
        <v>-767262</v>
      </c>
    </row>
    <row r="2083" spans="1:9" x14ac:dyDescent="0.2">
      <c r="A2083" s="12">
        <v>45332</v>
      </c>
      <c r="C2083" s="2" t="s">
        <v>1292</v>
      </c>
      <c r="D2083" s="1" t="s">
        <v>9</v>
      </c>
      <c r="E2083" s="36"/>
      <c r="F2083" s="36">
        <f>650000</f>
        <v>650000</v>
      </c>
      <c r="G2083" s="9">
        <f t="shared" si="42"/>
        <v>-1417262</v>
      </c>
    </row>
    <row r="2084" spans="1:9" x14ac:dyDescent="0.2">
      <c r="A2084" s="12">
        <v>45332</v>
      </c>
      <c r="C2084" s="2" t="s">
        <v>1347</v>
      </c>
      <c r="D2084" s="1" t="s">
        <v>9</v>
      </c>
      <c r="E2084" s="36"/>
      <c r="F2084" s="36">
        <f>792517+275</f>
        <v>792792</v>
      </c>
      <c r="G2084" s="9">
        <f t="shared" si="42"/>
        <v>-2210054</v>
      </c>
    </row>
    <row r="2085" spans="1:9" x14ac:dyDescent="0.2">
      <c r="A2085" s="12">
        <v>45332</v>
      </c>
      <c r="C2085" s="2" t="s">
        <v>1348</v>
      </c>
      <c r="D2085" s="1" t="s">
        <v>9</v>
      </c>
      <c r="E2085" s="36"/>
      <c r="F2085" s="36">
        <f>552939+275</f>
        <v>553214</v>
      </c>
      <c r="G2085" s="9">
        <f t="shared" si="42"/>
        <v>-2763268</v>
      </c>
    </row>
    <row r="2086" spans="1:9" x14ac:dyDescent="0.2">
      <c r="A2086" s="12">
        <v>45332</v>
      </c>
      <c r="C2086" s="2" t="s">
        <v>1349</v>
      </c>
      <c r="D2086" s="1" t="s">
        <v>9</v>
      </c>
      <c r="E2086" s="36"/>
      <c r="F2086" s="36">
        <f>677283</f>
        <v>677283</v>
      </c>
      <c r="G2086" s="9">
        <f t="shared" si="42"/>
        <v>-3440551</v>
      </c>
    </row>
    <row r="2087" spans="1:9" x14ac:dyDescent="0.2">
      <c r="A2087" s="12">
        <v>45332</v>
      </c>
      <c r="C2087" s="2" t="s">
        <v>1350</v>
      </c>
      <c r="D2087" s="1" t="s">
        <v>9</v>
      </c>
      <c r="E2087" s="36"/>
      <c r="F2087" s="36">
        <f>2124000+275</f>
        <v>2124275</v>
      </c>
      <c r="G2087" s="9">
        <f t="shared" si="42"/>
        <v>-5564826</v>
      </c>
    </row>
    <row r="2088" spans="1:9" x14ac:dyDescent="0.2">
      <c r="A2088" s="12">
        <v>45332</v>
      </c>
      <c r="C2088" s="2" t="s">
        <v>276</v>
      </c>
      <c r="D2088" s="1" t="s">
        <v>9</v>
      </c>
      <c r="E2088" s="36">
        <v>685344</v>
      </c>
      <c r="F2088" s="36"/>
      <c r="G2088" s="9">
        <f t="shared" si="42"/>
        <v>-4879482</v>
      </c>
    </row>
    <row r="2089" spans="1:9" x14ac:dyDescent="0.2">
      <c r="A2089" s="12">
        <v>45332</v>
      </c>
      <c r="C2089" s="2" t="s">
        <v>1363</v>
      </c>
      <c r="D2089" s="1" t="s">
        <v>9</v>
      </c>
      <c r="E2089" s="36">
        <v>883567</v>
      </c>
      <c r="F2089" s="36"/>
      <c r="G2089" s="9">
        <f t="shared" si="42"/>
        <v>-3995915</v>
      </c>
    </row>
    <row r="2090" spans="1:9" s="28" customFormat="1" x14ac:dyDescent="0.2">
      <c r="A2090" s="20">
        <v>45337</v>
      </c>
      <c r="B2090" s="21"/>
      <c r="C2090" s="22" t="s">
        <v>1365</v>
      </c>
      <c r="D2090" s="21" t="s">
        <v>9</v>
      </c>
      <c r="E2090" s="36">
        <v>368027</v>
      </c>
      <c r="F2090" s="36"/>
      <c r="G2090" s="9">
        <f t="shared" si="42"/>
        <v>-3627888</v>
      </c>
      <c r="H2090" s="27"/>
      <c r="I2090" s="26"/>
    </row>
    <row r="2091" spans="1:9" s="28" customFormat="1" x14ac:dyDescent="0.2">
      <c r="A2091" s="20">
        <v>45337</v>
      </c>
      <c r="B2091" s="21"/>
      <c r="C2091" s="22" t="s">
        <v>1339</v>
      </c>
      <c r="D2091" s="21" t="s">
        <v>9</v>
      </c>
      <c r="E2091" s="36">
        <v>111864</v>
      </c>
      <c r="F2091" s="36"/>
      <c r="G2091" s="9">
        <f t="shared" si="42"/>
        <v>-3516024</v>
      </c>
      <c r="H2091" s="27"/>
      <c r="I2091" s="26"/>
    </row>
    <row r="2092" spans="1:9" x14ac:dyDescent="0.2">
      <c r="A2092" s="20">
        <v>45337</v>
      </c>
      <c r="C2092" s="2" t="s">
        <v>1366</v>
      </c>
      <c r="D2092" s="1" t="s">
        <v>9</v>
      </c>
      <c r="E2092" s="36"/>
      <c r="F2092" s="36">
        <f>5150706+127022</f>
        <v>5277728</v>
      </c>
      <c r="G2092" s="9">
        <f t="shared" si="42"/>
        <v>-8793752</v>
      </c>
    </row>
    <row r="2093" spans="1:9" x14ac:dyDescent="0.2">
      <c r="A2093" s="20">
        <v>45337</v>
      </c>
      <c r="C2093" s="2" t="s">
        <v>1367</v>
      </c>
      <c r="D2093" s="1" t="s">
        <v>9</v>
      </c>
      <c r="E2093" s="36"/>
      <c r="F2093" s="36">
        <f>2066265+66113</f>
        <v>2132378</v>
      </c>
      <c r="G2093" s="9">
        <f t="shared" si="42"/>
        <v>-10926130</v>
      </c>
    </row>
    <row r="2094" spans="1:9" x14ac:dyDescent="0.2">
      <c r="A2094" s="12">
        <v>45338</v>
      </c>
      <c r="C2094" s="2" t="s">
        <v>701</v>
      </c>
      <c r="D2094" s="1" t="s">
        <v>9</v>
      </c>
      <c r="E2094" s="36">
        <v>492097</v>
      </c>
      <c r="F2094" s="36"/>
      <c r="G2094" s="9">
        <f t="shared" si="42"/>
        <v>-10434033</v>
      </c>
    </row>
    <row r="2095" spans="1:9" x14ac:dyDescent="0.2">
      <c r="A2095" s="12">
        <v>45338</v>
      </c>
      <c r="C2095" s="2" t="s">
        <v>1375</v>
      </c>
      <c r="D2095" s="1" t="s">
        <v>9</v>
      </c>
      <c r="E2095" s="36">
        <v>263712</v>
      </c>
      <c r="F2095" s="36"/>
      <c r="G2095" s="9">
        <f t="shared" si="42"/>
        <v>-10170321</v>
      </c>
    </row>
    <row r="2096" spans="1:9" x14ac:dyDescent="0.2">
      <c r="A2096" s="12">
        <v>45341</v>
      </c>
      <c r="C2096" s="2" t="s">
        <v>115</v>
      </c>
      <c r="D2096" s="1" t="s">
        <v>9</v>
      </c>
      <c r="E2096" s="36">
        <v>112573</v>
      </c>
      <c r="F2096" s="36"/>
      <c r="G2096" s="9">
        <f t="shared" si="42"/>
        <v>-10057748</v>
      </c>
    </row>
    <row r="2097" spans="1:7" x14ac:dyDescent="0.2">
      <c r="A2097" s="12">
        <v>45341</v>
      </c>
      <c r="C2097" s="2" t="s">
        <v>1368</v>
      </c>
      <c r="D2097" s="1" t="s">
        <v>9</v>
      </c>
      <c r="E2097" s="36">
        <v>210000</v>
      </c>
      <c r="F2097" s="36"/>
      <c r="G2097" s="9">
        <f t="shared" si="42"/>
        <v>-9847748</v>
      </c>
    </row>
    <row r="2098" spans="1:7" x14ac:dyDescent="0.2">
      <c r="A2098" s="12">
        <v>45341</v>
      </c>
      <c r="C2098" s="2" t="s">
        <v>1369</v>
      </c>
      <c r="D2098" s="1" t="s">
        <v>9</v>
      </c>
      <c r="E2098" s="36">
        <v>80093</v>
      </c>
      <c r="F2098" s="36"/>
      <c r="G2098" s="9">
        <f t="shared" si="42"/>
        <v>-9767655</v>
      </c>
    </row>
    <row r="2099" spans="1:7" x14ac:dyDescent="0.2">
      <c r="A2099" s="12">
        <v>45341</v>
      </c>
      <c r="C2099" s="2" t="s">
        <v>1370</v>
      </c>
      <c r="D2099" s="1" t="s">
        <v>9</v>
      </c>
      <c r="E2099" s="36">
        <v>78234</v>
      </c>
      <c r="F2099" s="36"/>
      <c r="G2099" s="9">
        <f t="shared" ref="G2099:G2142" si="43">G2098+E2099-F2099</f>
        <v>-9689421</v>
      </c>
    </row>
    <row r="2100" spans="1:7" x14ac:dyDescent="0.2">
      <c r="A2100" s="12">
        <v>45341</v>
      </c>
      <c r="C2100" s="2" t="s">
        <v>1371</v>
      </c>
      <c r="D2100" s="1" t="s">
        <v>9</v>
      </c>
      <c r="E2100" s="36">
        <v>1159497</v>
      </c>
      <c r="F2100" s="36"/>
      <c r="G2100" s="9">
        <f t="shared" si="43"/>
        <v>-8529924</v>
      </c>
    </row>
    <row r="2101" spans="1:7" x14ac:dyDescent="0.2">
      <c r="A2101" s="12">
        <v>45341</v>
      </c>
      <c r="C2101" s="2" t="s">
        <v>527</v>
      </c>
      <c r="D2101" s="1" t="s">
        <v>9</v>
      </c>
      <c r="E2101" s="36">
        <v>292803</v>
      </c>
      <c r="F2101" s="36"/>
      <c r="G2101" s="9">
        <f t="shared" si="43"/>
        <v>-8237121</v>
      </c>
    </row>
    <row r="2102" spans="1:7" x14ac:dyDescent="0.2">
      <c r="A2102" s="12">
        <v>45341</v>
      </c>
      <c r="C2102" s="2" t="s">
        <v>123</v>
      </c>
      <c r="D2102" s="1" t="s">
        <v>9</v>
      </c>
      <c r="E2102" s="36">
        <v>422971</v>
      </c>
      <c r="F2102" s="36"/>
      <c r="G2102" s="9">
        <f t="shared" si="43"/>
        <v>-7814150</v>
      </c>
    </row>
    <row r="2103" spans="1:7" x14ac:dyDescent="0.2">
      <c r="A2103" s="12">
        <v>45341</v>
      </c>
      <c r="C2103" s="2" t="s">
        <v>43</v>
      </c>
      <c r="D2103" s="1" t="s">
        <v>9</v>
      </c>
      <c r="E2103" s="36">
        <v>300892</v>
      </c>
      <c r="F2103" s="36"/>
      <c r="G2103" s="9">
        <f t="shared" si="43"/>
        <v>-7513258</v>
      </c>
    </row>
    <row r="2104" spans="1:7" x14ac:dyDescent="0.2">
      <c r="A2104" s="12">
        <v>45341</v>
      </c>
      <c r="C2104" s="2" t="s">
        <v>1372</v>
      </c>
      <c r="D2104" s="1" t="s">
        <v>9</v>
      </c>
      <c r="E2104" s="36">
        <v>158976</v>
      </c>
      <c r="F2104" s="36"/>
      <c r="G2104" s="9">
        <f t="shared" si="43"/>
        <v>-7354282</v>
      </c>
    </row>
    <row r="2105" spans="1:7" x14ac:dyDescent="0.2">
      <c r="A2105" s="12">
        <v>45341</v>
      </c>
      <c r="C2105" s="2" t="s">
        <v>1373</v>
      </c>
      <c r="D2105" s="1" t="s">
        <v>9</v>
      </c>
      <c r="E2105" s="36">
        <v>252420</v>
      </c>
      <c r="F2105" s="36"/>
      <c r="G2105" s="9">
        <f t="shared" si="43"/>
        <v>-7101862</v>
      </c>
    </row>
    <row r="2106" spans="1:7" x14ac:dyDescent="0.2">
      <c r="A2106" s="12">
        <v>45341</v>
      </c>
      <c r="C2106" s="2" t="s">
        <v>1370</v>
      </c>
      <c r="D2106" s="1" t="s">
        <v>9</v>
      </c>
      <c r="E2106" s="36">
        <v>221763</v>
      </c>
      <c r="F2106" s="36"/>
      <c r="G2106" s="9">
        <f t="shared" si="43"/>
        <v>-6880099</v>
      </c>
    </row>
    <row r="2107" spans="1:7" x14ac:dyDescent="0.2">
      <c r="A2107" s="12">
        <v>45341</v>
      </c>
      <c r="C2107" s="2" t="s">
        <v>137</v>
      </c>
      <c r="D2107" s="1" t="s">
        <v>9</v>
      </c>
      <c r="E2107" s="36">
        <v>22715</v>
      </c>
      <c r="F2107" s="36"/>
      <c r="G2107" s="9">
        <f t="shared" si="43"/>
        <v>-6857384</v>
      </c>
    </row>
    <row r="2108" spans="1:7" x14ac:dyDescent="0.2">
      <c r="A2108" s="12">
        <v>45341</v>
      </c>
      <c r="C2108" s="2" t="s">
        <v>1377</v>
      </c>
      <c r="D2108" s="1" t="s">
        <v>9</v>
      </c>
      <c r="E2108" s="36"/>
      <c r="F2108" s="36">
        <v>1575730</v>
      </c>
      <c r="G2108" s="9">
        <f t="shared" si="43"/>
        <v>-8433114</v>
      </c>
    </row>
    <row r="2109" spans="1:7" x14ac:dyDescent="0.2">
      <c r="A2109" s="12">
        <v>45341</v>
      </c>
      <c r="C2109" s="2" t="s">
        <v>1374</v>
      </c>
      <c r="D2109" s="1" t="s">
        <v>9</v>
      </c>
      <c r="E2109" s="36"/>
      <c r="F2109" s="36">
        <v>5000</v>
      </c>
      <c r="G2109" s="9">
        <f t="shared" si="43"/>
        <v>-8438114</v>
      </c>
    </row>
    <row r="2110" spans="1:7" x14ac:dyDescent="0.2">
      <c r="A2110" s="12">
        <v>45341</v>
      </c>
      <c r="C2110" s="2" t="s">
        <v>1376</v>
      </c>
      <c r="D2110" s="1" t="s">
        <v>9</v>
      </c>
      <c r="E2110" s="36"/>
      <c r="F2110" s="36">
        <v>24579</v>
      </c>
      <c r="G2110" s="9">
        <f t="shared" si="43"/>
        <v>-8462693</v>
      </c>
    </row>
    <row r="2111" spans="1:7" x14ac:dyDescent="0.2">
      <c r="A2111" s="12">
        <v>45341</v>
      </c>
      <c r="C2111" s="2" t="s">
        <v>1374</v>
      </c>
      <c r="D2111" s="1" t="s">
        <v>9</v>
      </c>
      <c r="E2111" s="36"/>
      <c r="F2111" s="36">
        <v>5000</v>
      </c>
      <c r="G2111" s="9">
        <f t="shared" si="43"/>
        <v>-8467693</v>
      </c>
    </row>
    <row r="2112" spans="1:7" x14ac:dyDescent="0.2">
      <c r="A2112" s="12">
        <v>45342</v>
      </c>
      <c r="C2112" s="2" t="s">
        <v>35</v>
      </c>
      <c r="D2112" s="1" t="s">
        <v>9</v>
      </c>
      <c r="E2112" s="36"/>
      <c r="F2112" s="36">
        <v>6600</v>
      </c>
      <c r="G2112" s="9">
        <f t="shared" si="43"/>
        <v>-8474293</v>
      </c>
    </row>
    <row r="2113" spans="1:7" x14ac:dyDescent="0.2">
      <c r="A2113" s="12">
        <v>45342</v>
      </c>
      <c r="C2113" s="2" t="s">
        <v>1378</v>
      </c>
      <c r="D2113" s="1" t="s">
        <v>9</v>
      </c>
      <c r="E2113" s="36"/>
      <c r="F2113" s="36">
        <v>74567</v>
      </c>
      <c r="G2113" s="9">
        <f t="shared" si="43"/>
        <v>-8548860</v>
      </c>
    </row>
    <row r="2114" spans="1:7" x14ac:dyDescent="0.2">
      <c r="A2114" s="12">
        <v>45342</v>
      </c>
      <c r="C2114" s="2" t="s">
        <v>1374</v>
      </c>
      <c r="D2114" s="1" t="s">
        <v>9</v>
      </c>
      <c r="E2114" s="36"/>
      <c r="F2114" s="36">
        <v>5000</v>
      </c>
      <c r="G2114" s="9">
        <f t="shared" si="43"/>
        <v>-8553860</v>
      </c>
    </row>
    <row r="2115" spans="1:7" x14ac:dyDescent="0.2">
      <c r="A2115" s="12">
        <v>45342</v>
      </c>
      <c r="C2115" s="2" t="s">
        <v>1379</v>
      </c>
      <c r="D2115" s="1" t="s">
        <v>9</v>
      </c>
      <c r="E2115" s="36">
        <v>124071</v>
      </c>
      <c r="F2115" s="36"/>
      <c r="G2115" s="9">
        <f t="shared" si="43"/>
        <v>-8429789</v>
      </c>
    </row>
    <row r="2116" spans="1:7" x14ac:dyDescent="0.2">
      <c r="A2116" s="12">
        <v>45342</v>
      </c>
      <c r="C2116" s="2" t="s">
        <v>1380</v>
      </c>
      <c r="D2116" s="1" t="s">
        <v>9</v>
      </c>
      <c r="E2116" s="36">
        <v>442170</v>
      </c>
      <c r="F2116" s="36"/>
      <c r="G2116" s="9">
        <f t="shared" si="43"/>
        <v>-7987619</v>
      </c>
    </row>
    <row r="2117" spans="1:7" x14ac:dyDescent="0.2">
      <c r="A2117" s="12">
        <v>45343</v>
      </c>
      <c r="C2117" s="2" t="s">
        <v>1381</v>
      </c>
      <c r="D2117" s="1" t="s">
        <v>9</v>
      </c>
      <c r="E2117" s="36">
        <v>3287537</v>
      </c>
      <c r="F2117" s="36"/>
      <c r="G2117" s="9">
        <f t="shared" si="43"/>
        <v>-4700082</v>
      </c>
    </row>
    <row r="2118" spans="1:7" x14ac:dyDescent="0.2">
      <c r="A2118" s="12">
        <v>45343</v>
      </c>
      <c r="C2118" s="2" t="s">
        <v>1227</v>
      </c>
      <c r="D2118" s="1" t="s">
        <v>9</v>
      </c>
      <c r="E2118" s="36">
        <v>3098</v>
      </c>
      <c r="F2118" s="36"/>
      <c r="G2118" s="9">
        <f t="shared" si="43"/>
        <v>-4696984</v>
      </c>
    </row>
    <row r="2119" spans="1:7" x14ac:dyDescent="0.2">
      <c r="A2119" s="12">
        <v>45343</v>
      </c>
      <c r="C2119" s="2" t="s">
        <v>1382</v>
      </c>
      <c r="D2119" s="1" t="s">
        <v>9</v>
      </c>
      <c r="E2119" s="36"/>
      <c r="F2119" s="36">
        <v>44100</v>
      </c>
      <c r="G2119" s="9">
        <f t="shared" si="43"/>
        <v>-4741084</v>
      </c>
    </row>
    <row r="2120" spans="1:7" x14ac:dyDescent="0.2">
      <c r="A2120" s="12">
        <v>45343</v>
      </c>
      <c r="C2120" s="2" t="s">
        <v>18</v>
      </c>
      <c r="D2120" s="1" t="s">
        <v>9</v>
      </c>
      <c r="E2120" s="36">
        <v>465053</v>
      </c>
      <c r="F2120" s="36"/>
      <c r="G2120" s="9">
        <f t="shared" si="43"/>
        <v>-4276031</v>
      </c>
    </row>
    <row r="2121" spans="1:7" x14ac:dyDescent="0.2">
      <c r="A2121" s="12">
        <v>45343</v>
      </c>
      <c r="C2121" s="2" t="s">
        <v>18</v>
      </c>
      <c r="D2121" s="1" t="s">
        <v>9</v>
      </c>
      <c r="E2121" s="36">
        <v>2121600</v>
      </c>
      <c r="F2121" s="36"/>
      <c r="G2121" s="9">
        <f t="shared" si="43"/>
        <v>-2154431</v>
      </c>
    </row>
    <row r="2122" spans="1:7" x14ac:dyDescent="0.2">
      <c r="A2122" s="12">
        <v>45343</v>
      </c>
      <c r="C2122" s="2" t="s">
        <v>165</v>
      </c>
      <c r="D2122" s="1" t="s">
        <v>9</v>
      </c>
      <c r="E2122" s="36">
        <v>8828</v>
      </c>
      <c r="F2122" s="36"/>
      <c r="G2122" s="9">
        <f t="shared" si="43"/>
        <v>-2145603</v>
      </c>
    </row>
    <row r="2123" spans="1:7" x14ac:dyDescent="0.2">
      <c r="A2123" s="12">
        <v>45344</v>
      </c>
      <c r="C2123" s="2" t="s">
        <v>61</v>
      </c>
      <c r="D2123" s="1" t="s">
        <v>9</v>
      </c>
      <c r="E2123" s="36">
        <v>75520</v>
      </c>
      <c r="F2123" s="36"/>
      <c r="G2123" s="9">
        <f t="shared" si="43"/>
        <v>-2070083</v>
      </c>
    </row>
    <row r="2124" spans="1:7" x14ac:dyDescent="0.2">
      <c r="A2124" s="12">
        <v>45345</v>
      </c>
      <c r="C2124" s="34" t="s">
        <v>27</v>
      </c>
      <c r="D2124" s="35" t="s">
        <v>9</v>
      </c>
      <c r="E2124" s="36"/>
      <c r="F2124" s="36">
        <v>150000</v>
      </c>
      <c r="G2124" s="9">
        <f t="shared" si="43"/>
        <v>-2220083</v>
      </c>
    </row>
    <row r="2125" spans="1:7" x14ac:dyDescent="0.2">
      <c r="A2125" s="37">
        <v>45347</v>
      </c>
      <c r="B2125" s="35"/>
      <c r="C2125" s="34" t="s">
        <v>1392</v>
      </c>
      <c r="D2125" s="35" t="s">
        <v>9</v>
      </c>
      <c r="E2125" s="36"/>
      <c r="F2125" s="36">
        <f>8382370+181049</f>
        <v>8563419</v>
      </c>
      <c r="G2125" s="9">
        <f t="shared" si="43"/>
        <v>-10783502</v>
      </c>
    </row>
    <row r="2126" spans="1:7" x14ac:dyDescent="0.2">
      <c r="A2126" s="12">
        <v>45347</v>
      </c>
      <c r="C2126" s="18" t="s">
        <v>1383</v>
      </c>
      <c r="D2126" s="1" t="s">
        <v>9</v>
      </c>
      <c r="E2126" s="36"/>
      <c r="F2126" s="36">
        <f>4954386</f>
        <v>4954386</v>
      </c>
      <c r="G2126" s="9">
        <f t="shared" si="43"/>
        <v>-15737888</v>
      </c>
    </row>
    <row r="2127" spans="1:7" x14ac:dyDescent="0.2">
      <c r="A2127" s="37">
        <v>45348</v>
      </c>
      <c r="B2127" s="35"/>
      <c r="C2127" s="34" t="s">
        <v>1384</v>
      </c>
      <c r="D2127" s="35" t="s">
        <v>9</v>
      </c>
      <c r="E2127" s="36">
        <v>320124</v>
      </c>
      <c r="F2127" s="36"/>
      <c r="G2127" s="9">
        <f t="shared" si="43"/>
        <v>-15417764</v>
      </c>
    </row>
    <row r="2128" spans="1:7" x14ac:dyDescent="0.2">
      <c r="A2128" s="37">
        <v>45348</v>
      </c>
      <c r="B2128" s="35"/>
      <c r="C2128" s="34" t="s">
        <v>1385</v>
      </c>
      <c r="D2128" s="35" t="s">
        <v>9</v>
      </c>
      <c r="E2128" s="36">
        <v>118510</v>
      </c>
      <c r="F2128" s="36"/>
      <c r="G2128" s="9">
        <f t="shared" si="43"/>
        <v>-15299254</v>
      </c>
    </row>
    <row r="2129" spans="1:9" x14ac:dyDescent="0.2">
      <c r="A2129" s="37">
        <v>45348</v>
      </c>
      <c r="B2129" s="35"/>
      <c r="C2129" s="34" t="s">
        <v>1358</v>
      </c>
      <c r="D2129" s="35" t="s">
        <v>9</v>
      </c>
      <c r="E2129" s="36">
        <v>49560</v>
      </c>
      <c r="F2129" s="36"/>
      <c r="G2129" s="9">
        <f t="shared" si="43"/>
        <v>-15249694</v>
      </c>
    </row>
    <row r="2130" spans="1:9" x14ac:dyDescent="0.2">
      <c r="A2130" s="37">
        <v>45348</v>
      </c>
      <c r="B2130" s="35"/>
      <c r="C2130" s="34" t="s">
        <v>1386</v>
      </c>
      <c r="D2130" s="35" t="s">
        <v>9</v>
      </c>
      <c r="E2130" s="36">
        <v>211220</v>
      </c>
      <c r="F2130" s="36"/>
      <c r="G2130" s="9">
        <f t="shared" si="43"/>
        <v>-15038474</v>
      </c>
    </row>
    <row r="2131" spans="1:9" x14ac:dyDescent="0.2">
      <c r="A2131" s="37">
        <v>45348</v>
      </c>
      <c r="B2131" s="35"/>
      <c r="C2131" s="34" t="s">
        <v>1387</v>
      </c>
      <c r="D2131" s="35" t="s">
        <v>9</v>
      </c>
      <c r="E2131" s="36">
        <v>254880</v>
      </c>
      <c r="F2131" s="36"/>
      <c r="G2131" s="9">
        <f t="shared" si="43"/>
        <v>-14783594</v>
      </c>
    </row>
    <row r="2132" spans="1:9" x14ac:dyDescent="0.2">
      <c r="A2132" s="37">
        <v>45348</v>
      </c>
      <c r="B2132" s="35"/>
      <c r="C2132" s="34" t="s">
        <v>1387</v>
      </c>
      <c r="D2132" s="35" t="s">
        <v>9</v>
      </c>
      <c r="E2132" s="36">
        <v>222489</v>
      </c>
      <c r="F2132" s="36"/>
      <c r="G2132" s="9">
        <f t="shared" si="43"/>
        <v>-14561105</v>
      </c>
    </row>
    <row r="2133" spans="1:9" x14ac:dyDescent="0.2">
      <c r="A2133" s="37">
        <v>45348</v>
      </c>
      <c r="B2133" s="35"/>
      <c r="C2133" s="34" t="s">
        <v>1388</v>
      </c>
      <c r="D2133" s="35" t="s">
        <v>9</v>
      </c>
      <c r="E2133" s="36">
        <v>4762320</v>
      </c>
      <c r="F2133" s="36"/>
      <c r="G2133" s="9">
        <f t="shared" si="43"/>
        <v>-9798785</v>
      </c>
    </row>
    <row r="2134" spans="1:9" x14ac:dyDescent="0.2">
      <c r="A2134" s="12">
        <v>45349</v>
      </c>
      <c r="C2134" s="2" t="s">
        <v>61</v>
      </c>
      <c r="D2134" s="1" t="s">
        <v>9</v>
      </c>
      <c r="E2134" s="36">
        <v>605401</v>
      </c>
      <c r="F2134" s="36"/>
      <c r="G2134" s="9">
        <f t="shared" si="43"/>
        <v>-9193384</v>
      </c>
    </row>
    <row r="2135" spans="1:9" x14ac:dyDescent="0.2">
      <c r="A2135" s="37">
        <v>45349</v>
      </c>
      <c r="B2135" s="35"/>
      <c r="C2135" s="34" t="s">
        <v>1287</v>
      </c>
      <c r="D2135" s="35" t="s">
        <v>9</v>
      </c>
      <c r="E2135" s="36">
        <v>400000</v>
      </c>
      <c r="F2135" s="36"/>
      <c r="G2135" s="9">
        <f t="shared" si="43"/>
        <v>-8793384</v>
      </c>
    </row>
    <row r="2136" spans="1:9" x14ac:dyDescent="0.2">
      <c r="A2136" s="37">
        <v>45349</v>
      </c>
      <c r="B2136" s="35"/>
      <c r="C2136" s="34" t="s">
        <v>1390</v>
      </c>
      <c r="D2136" s="35" t="s">
        <v>9</v>
      </c>
      <c r="E2136" s="36">
        <v>887901</v>
      </c>
      <c r="F2136" s="36"/>
      <c r="G2136" s="9">
        <f t="shared" si="43"/>
        <v>-7905483</v>
      </c>
    </row>
    <row r="2137" spans="1:9" x14ac:dyDescent="0.2">
      <c r="A2137" s="37">
        <v>45349</v>
      </c>
      <c r="B2137" s="35"/>
      <c r="C2137" s="34" t="s">
        <v>1257</v>
      </c>
      <c r="D2137" s="35" t="s">
        <v>9</v>
      </c>
      <c r="E2137" s="36">
        <v>16770</v>
      </c>
      <c r="F2137" s="36"/>
      <c r="G2137" s="9">
        <f t="shared" si="43"/>
        <v>-7888713</v>
      </c>
    </row>
    <row r="2138" spans="1:9" x14ac:dyDescent="0.2">
      <c r="A2138" s="37">
        <v>45349</v>
      </c>
      <c r="B2138" s="35"/>
      <c r="C2138" s="34" t="s">
        <v>1391</v>
      </c>
      <c r="D2138" s="35" t="s">
        <v>9</v>
      </c>
      <c r="E2138" s="36">
        <v>368000</v>
      </c>
      <c r="F2138" s="36"/>
      <c r="G2138" s="9">
        <f t="shared" si="43"/>
        <v>-7520713</v>
      </c>
    </row>
    <row r="2139" spans="1:9" x14ac:dyDescent="0.2">
      <c r="A2139" s="12">
        <v>45349</v>
      </c>
      <c r="C2139" s="2" t="s">
        <v>505</v>
      </c>
      <c r="D2139" s="1" t="s">
        <v>9</v>
      </c>
      <c r="E2139" s="36">
        <v>46474</v>
      </c>
      <c r="F2139" s="36"/>
      <c r="G2139" s="9">
        <f t="shared" si="43"/>
        <v>-7474239</v>
      </c>
    </row>
    <row r="2140" spans="1:9" x14ac:dyDescent="0.2">
      <c r="A2140" s="12">
        <v>45351</v>
      </c>
      <c r="C2140" s="18" t="s">
        <v>1389</v>
      </c>
      <c r="D2140" s="1" t="s">
        <v>9</v>
      </c>
      <c r="E2140" s="36"/>
      <c r="F2140" s="36">
        <f>1849807</f>
        <v>1849807</v>
      </c>
      <c r="G2140" s="9">
        <f t="shared" si="43"/>
        <v>-9324046</v>
      </c>
    </row>
    <row r="2141" spans="1:9" x14ac:dyDescent="0.2">
      <c r="A2141" s="12">
        <v>45351</v>
      </c>
      <c r="C2141" s="2" t="s">
        <v>1396</v>
      </c>
      <c r="D2141" s="1" t="s">
        <v>9</v>
      </c>
      <c r="E2141" s="36"/>
      <c r="F2141" s="36">
        <v>165099</v>
      </c>
      <c r="G2141" s="9">
        <f t="shared" si="43"/>
        <v>-9489145</v>
      </c>
      <c r="I2141" s="24">
        <v>-9597504</v>
      </c>
    </row>
    <row r="2142" spans="1:9" x14ac:dyDescent="0.2">
      <c r="A2142" s="37">
        <v>45351</v>
      </c>
      <c r="B2142" s="35"/>
      <c r="C2142" s="34" t="s">
        <v>1208</v>
      </c>
      <c r="D2142" s="35" t="s">
        <v>9</v>
      </c>
      <c r="E2142" s="36">
        <v>72688</v>
      </c>
      <c r="F2142" s="36"/>
      <c r="G2142" s="9">
        <f t="shared" si="43"/>
        <v>-9416457</v>
      </c>
      <c r="I2142" s="9">
        <f>I2141+E1686</f>
        <v>-9416457</v>
      </c>
    </row>
    <row r="2143" spans="1:9" ht="15.75" x14ac:dyDescent="0.25">
      <c r="A2143" s="10" t="s">
        <v>1397</v>
      </c>
      <c r="G2143" s="9"/>
      <c r="I2143" s="9">
        <f>I2142-G2142</f>
        <v>0</v>
      </c>
    </row>
    <row r="2144" spans="1:9" x14ac:dyDescent="0.2">
      <c r="A2144" s="11" t="s">
        <v>2</v>
      </c>
      <c r="B2144" s="5" t="s">
        <v>1</v>
      </c>
      <c r="C2144" s="5" t="s">
        <v>3</v>
      </c>
      <c r="D2144" s="5"/>
      <c r="E2144" s="7" t="s">
        <v>4</v>
      </c>
      <c r="F2144" s="7" t="s">
        <v>6</v>
      </c>
      <c r="G2144" s="8" t="s">
        <v>5</v>
      </c>
    </row>
    <row r="2145" spans="1:7" x14ac:dyDescent="0.2">
      <c r="A2145" s="12">
        <v>45352</v>
      </c>
      <c r="C2145" s="18" t="s">
        <v>1393</v>
      </c>
      <c r="D2145" s="1" t="s">
        <v>9</v>
      </c>
      <c r="F2145" s="3">
        <v>1000000</v>
      </c>
      <c r="G2145" s="9">
        <f>G2142+E2145-F2145</f>
        <v>-10416457</v>
      </c>
    </row>
    <row r="2146" spans="1:7" x14ac:dyDescent="0.2">
      <c r="A2146" s="12">
        <v>45352</v>
      </c>
      <c r="C2146" s="2" t="s">
        <v>34</v>
      </c>
      <c r="D2146" s="1" t="s">
        <v>9</v>
      </c>
      <c r="F2146" s="3">
        <v>138</v>
      </c>
      <c r="G2146" s="9">
        <f t="shared" ref="G2146:G2183" si="44">G2145+E2146-F2146</f>
        <v>-10416595</v>
      </c>
    </row>
    <row r="2147" spans="1:7" x14ac:dyDescent="0.2">
      <c r="A2147" s="12">
        <v>45352</v>
      </c>
      <c r="C2147" s="18" t="s">
        <v>1393</v>
      </c>
      <c r="D2147" s="1" t="s">
        <v>9</v>
      </c>
      <c r="F2147" s="3">
        <v>2863899</v>
      </c>
      <c r="G2147" s="9">
        <f t="shared" si="44"/>
        <v>-13280494</v>
      </c>
    </row>
    <row r="2148" spans="1:7" x14ac:dyDescent="0.2">
      <c r="A2148" s="12">
        <v>45352</v>
      </c>
      <c r="C2148" s="2" t="s">
        <v>34</v>
      </c>
      <c r="D2148" s="1" t="s">
        <v>9</v>
      </c>
      <c r="F2148" s="3">
        <v>275</v>
      </c>
      <c r="G2148" s="9">
        <f t="shared" si="44"/>
        <v>-13280769</v>
      </c>
    </row>
    <row r="2149" spans="1:7" x14ac:dyDescent="0.2">
      <c r="A2149" s="12">
        <v>45352</v>
      </c>
      <c r="C2149" s="34" t="s">
        <v>1394</v>
      </c>
      <c r="D2149" s="1" t="s">
        <v>9</v>
      </c>
      <c r="E2149" s="3">
        <v>138768</v>
      </c>
      <c r="G2149" s="9">
        <f t="shared" si="44"/>
        <v>-13142001</v>
      </c>
    </row>
    <row r="2150" spans="1:7" x14ac:dyDescent="0.2">
      <c r="A2150" s="12">
        <v>45352</v>
      </c>
      <c r="C2150" s="34" t="s">
        <v>1395</v>
      </c>
      <c r="D2150" s="1" t="s">
        <v>9</v>
      </c>
      <c r="E2150" s="3">
        <v>205615</v>
      </c>
      <c r="G2150" s="9">
        <f t="shared" si="44"/>
        <v>-12936386</v>
      </c>
    </row>
    <row r="2151" spans="1:7" x14ac:dyDescent="0.2">
      <c r="A2151" s="12">
        <v>45355</v>
      </c>
      <c r="C2151" s="34" t="s">
        <v>1398</v>
      </c>
      <c r="D2151" s="1" t="s">
        <v>9</v>
      </c>
      <c r="E2151" s="3">
        <v>123664</v>
      </c>
      <c r="G2151" s="9">
        <f t="shared" si="44"/>
        <v>-12812722</v>
      </c>
    </row>
    <row r="2152" spans="1:7" x14ac:dyDescent="0.2">
      <c r="A2152" s="12">
        <v>45355</v>
      </c>
      <c r="C2152" s="34" t="s">
        <v>1399</v>
      </c>
      <c r="D2152" s="1" t="s">
        <v>9</v>
      </c>
      <c r="E2152" s="3">
        <v>73719</v>
      </c>
      <c r="G2152" s="9">
        <f t="shared" si="44"/>
        <v>-12739003</v>
      </c>
    </row>
    <row r="2153" spans="1:7" x14ac:dyDescent="0.2">
      <c r="A2153" s="12">
        <v>45355</v>
      </c>
      <c r="C2153" s="34" t="s">
        <v>1400</v>
      </c>
      <c r="D2153" s="1" t="s">
        <v>9</v>
      </c>
      <c r="E2153" s="3">
        <v>220413</v>
      </c>
      <c r="G2153" s="9">
        <f t="shared" si="44"/>
        <v>-12518590</v>
      </c>
    </row>
    <row r="2154" spans="1:7" x14ac:dyDescent="0.2">
      <c r="A2154" s="37">
        <v>45355</v>
      </c>
      <c r="B2154" s="35" t="s">
        <v>1403</v>
      </c>
      <c r="C2154" s="34" t="s">
        <v>1419</v>
      </c>
      <c r="D2154" s="35" t="s">
        <v>9</v>
      </c>
      <c r="E2154" s="36"/>
      <c r="F2154" s="36">
        <v>300000</v>
      </c>
      <c r="G2154" s="9">
        <f t="shared" si="44"/>
        <v>-12818590</v>
      </c>
    </row>
    <row r="2155" spans="1:7" x14ac:dyDescent="0.2">
      <c r="A2155" s="12">
        <v>45355</v>
      </c>
      <c r="C2155" s="2" t="s">
        <v>783</v>
      </c>
      <c r="D2155" s="1" t="s">
        <v>9</v>
      </c>
      <c r="E2155" s="3">
        <v>2574866</v>
      </c>
      <c r="G2155" s="9">
        <f t="shared" si="44"/>
        <v>-10243724</v>
      </c>
    </row>
    <row r="2156" spans="1:7" x14ac:dyDescent="0.2">
      <c r="A2156" s="12">
        <v>45357</v>
      </c>
      <c r="C2156" s="2" t="s">
        <v>1362</v>
      </c>
      <c r="D2156" s="1" t="s">
        <v>9</v>
      </c>
      <c r="F2156" s="3">
        <v>487589</v>
      </c>
      <c r="G2156" s="9">
        <f t="shared" si="44"/>
        <v>-10731313</v>
      </c>
    </row>
    <row r="2157" spans="1:7" x14ac:dyDescent="0.2">
      <c r="A2157" s="12">
        <v>45357</v>
      </c>
      <c r="C2157" s="2" t="s">
        <v>1401</v>
      </c>
      <c r="D2157" s="1" t="s">
        <v>9</v>
      </c>
      <c r="E2157" s="3">
        <v>1425000</v>
      </c>
      <c r="G2157" s="9">
        <f t="shared" si="44"/>
        <v>-9306313</v>
      </c>
    </row>
    <row r="2158" spans="1:7" x14ac:dyDescent="0.2">
      <c r="A2158" s="12">
        <v>45357</v>
      </c>
      <c r="C2158" s="2" t="s">
        <v>1402</v>
      </c>
      <c r="D2158" s="1" t="s">
        <v>9</v>
      </c>
      <c r="E2158" s="3">
        <v>566431</v>
      </c>
      <c r="G2158" s="9">
        <f t="shared" si="44"/>
        <v>-8739882</v>
      </c>
    </row>
    <row r="2159" spans="1:7" x14ac:dyDescent="0.2">
      <c r="A2159" s="37">
        <v>45358</v>
      </c>
      <c r="B2159" s="35"/>
      <c r="C2159" s="34" t="s">
        <v>1420</v>
      </c>
      <c r="D2159" s="35" t="s">
        <v>9</v>
      </c>
      <c r="E2159" s="36"/>
      <c r="F2159" s="36">
        <v>887901</v>
      </c>
      <c r="G2159" s="9">
        <f t="shared" si="44"/>
        <v>-9627783</v>
      </c>
    </row>
    <row r="2160" spans="1:7" x14ac:dyDescent="0.2">
      <c r="A2160" s="37">
        <v>45358</v>
      </c>
      <c r="B2160" s="35"/>
      <c r="C2160" s="34" t="s">
        <v>1421</v>
      </c>
      <c r="D2160" s="35" t="s">
        <v>9</v>
      </c>
      <c r="E2160" s="36">
        <v>884901</v>
      </c>
      <c r="F2160" s="36"/>
      <c r="G2160" s="9">
        <f t="shared" si="44"/>
        <v>-8742882</v>
      </c>
    </row>
    <row r="2161" spans="1:7" x14ac:dyDescent="0.2">
      <c r="A2161" s="12">
        <v>45359</v>
      </c>
      <c r="C2161" s="18" t="s">
        <v>1404</v>
      </c>
      <c r="D2161" s="1" t="s">
        <v>9</v>
      </c>
      <c r="F2161" s="3">
        <f>3389459</f>
        <v>3389459</v>
      </c>
      <c r="G2161" s="9">
        <f t="shared" si="44"/>
        <v>-12132341</v>
      </c>
    </row>
    <row r="2162" spans="1:7" x14ac:dyDescent="0.2">
      <c r="A2162" s="12">
        <v>45359</v>
      </c>
      <c r="C2162" s="34" t="s">
        <v>1330</v>
      </c>
      <c r="D2162" s="1" t="s">
        <v>9</v>
      </c>
      <c r="E2162" s="3">
        <v>567320</v>
      </c>
      <c r="G2162" s="9">
        <f t="shared" si="44"/>
        <v>-11565021</v>
      </c>
    </row>
    <row r="2163" spans="1:7" x14ac:dyDescent="0.2">
      <c r="A2163" s="12">
        <v>45359</v>
      </c>
      <c r="C2163" s="34" t="s">
        <v>1313</v>
      </c>
      <c r="D2163" s="1" t="s">
        <v>9</v>
      </c>
      <c r="E2163" s="3">
        <v>286156</v>
      </c>
      <c r="G2163" s="9">
        <f t="shared" si="44"/>
        <v>-11278865</v>
      </c>
    </row>
    <row r="2164" spans="1:7" x14ac:dyDescent="0.2">
      <c r="A2164" s="12">
        <v>45359</v>
      </c>
      <c r="C2164" s="34" t="s">
        <v>1395</v>
      </c>
      <c r="D2164" s="1" t="s">
        <v>9</v>
      </c>
      <c r="E2164" s="3">
        <v>436305</v>
      </c>
      <c r="G2164" s="9">
        <f t="shared" si="44"/>
        <v>-10842560</v>
      </c>
    </row>
    <row r="2165" spans="1:7" x14ac:dyDescent="0.2">
      <c r="A2165" s="12">
        <v>45359</v>
      </c>
      <c r="C2165" s="34" t="s">
        <v>1405</v>
      </c>
      <c r="D2165" s="1" t="s">
        <v>9</v>
      </c>
      <c r="E2165" s="3">
        <v>76558</v>
      </c>
      <c r="G2165" s="9">
        <f t="shared" si="44"/>
        <v>-10766002</v>
      </c>
    </row>
    <row r="2166" spans="1:7" x14ac:dyDescent="0.2">
      <c r="A2166" s="12">
        <v>45359</v>
      </c>
      <c r="C2166" s="34" t="s">
        <v>1406</v>
      </c>
      <c r="D2166" s="1" t="s">
        <v>9</v>
      </c>
      <c r="E2166" s="3">
        <v>1341129</v>
      </c>
      <c r="G2166" s="9">
        <f t="shared" si="44"/>
        <v>-9424873</v>
      </c>
    </row>
    <row r="2167" spans="1:7" x14ac:dyDescent="0.2">
      <c r="A2167" s="12">
        <v>45359</v>
      </c>
      <c r="C2167" s="34" t="s">
        <v>1407</v>
      </c>
      <c r="D2167" s="1" t="s">
        <v>9</v>
      </c>
      <c r="E2167" s="3">
        <v>177005</v>
      </c>
      <c r="G2167" s="9">
        <f t="shared" si="44"/>
        <v>-9247868</v>
      </c>
    </row>
    <row r="2168" spans="1:7" x14ac:dyDescent="0.2">
      <c r="A2168" s="12">
        <v>45359</v>
      </c>
      <c r="C2168" s="34" t="s">
        <v>1263</v>
      </c>
      <c r="D2168" s="1" t="s">
        <v>9</v>
      </c>
      <c r="E2168" s="3">
        <v>278303</v>
      </c>
      <c r="G2168" s="9">
        <f t="shared" si="44"/>
        <v>-8969565</v>
      </c>
    </row>
    <row r="2169" spans="1:7" x14ac:dyDescent="0.2">
      <c r="A2169" s="12">
        <v>45359</v>
      </c>
      <c r="C2169" s="34" t="s">
        <v>1291</v>
      </c>
      <c r="D2169" s="1" t="s">
        <v>9</v>
      </c>
      <c r="E2169" s="3">
        <v>524864</v>
      </c>
      <c r="G2169" s="9">
        <f t="shared" si="44"/>
        <v>-8444701</v>
      </c>
    </row>
    <row r="2170" spans="1:7" x14ac:dyDescent="0.2">
      <c r="A2170" s="12">
        <v>45359</v>
      </c>
      <c r="C2170" s="34" t="s">
        <v>1320</v>
      </c>
      <c r="D2170" s="1" t="s">
        <v>9</v>
      </c>
      <c r="E2170" s="3">
        <v>366372</v>
      </c>
      <c r="G2170" s="9">
        <f t="shared" si="44"/>
        <v>-8078329</v>
      </c>
    </row>
    <row r="2171" spans="1:7" x14ac:dyDescent="0.2">
      <c r="A2171" s="12">
        <v>45359</v>
      </c>
      <c r="C2171" s="34" t="s">
        <v>1266</v>
      </c>
      <c r="D2171" s="1" t="s">
        <v>9</v>
      </c>
      <c r="E2171" s="3">
        <v>55413</v>
      </c>
      <c r="G2171" s="9">
        <f t="shared" si="44"/>
        <v>-8022916</v>
      </c>
    </row>
    <row r="2172" spans="1:7" x14ac:dyDescent="0.2">
      <c r="A2172" s="12">
        <v>45359</v>
      </c>
      <c r="B2172" s="21" t="s">
        <v>1409</v>
      </c>
      <c r="C2172" s="34" t="s">
        <v>1408</v>
      </c>
      <c r="D2172" s="1" t="s">
        <v>9</v>
      </c>
      <c r="F2172" s="3">
        <v>935000</v>
      </c>
      <c r="G2172" s="9">
        <f t="shared" si="44"/>
        <v>-8957916</v>
      </c>
    </row>
    <row r="2173" spans="1:7" x14ac:dyDescent="0.2">
      <c r="A2173" s="12">
        <v>45359</v>
      </c>
      <c r="C2173" s="2" t="s">
        <v>1410</v>
      </c>
      <c r="D2173" s="1" t="s">
        <v>9</v>
      </c>
      <c r="F2173" s="3">
        <f>2899540+98961</f>
        <v>2998501</v>
      </c>
      <c r="G2173" s="9">
        <f t="shared" si="44"/>
        <v>-11956417</v>
      </c>
    </row>
    <row r="2174" spans="1:7" x14ac:dyDescent="0.2">
      <c r="A2174" s="13">
        <v>45362</v>
      </c>
      <c r="B2174" s="14"/>
      <c r="C2174" s="15" t="s">
        <v>1412</v>
      </c>
      <c r="D2174" s="14" t="s">
        <v>9</v>
      </c>
      <c r="E2174" s="16"/>
      <c r="F2174" s="16">
        <v>177005</v>
      </c>
      <c r="G2174" s="9">
        <f t="shared" si="44"/>
        <v>-12133422</v>
      </c>
    </row>
    <row r="2175" spans="1:7" x14ac:dyDescent="0.2">
      <c r="A2175" s="13">
        <v>45362</v>
      </c>
      <c r="B2175" s="14"/>
      <c r="C2175" s="15" t="s">
        <v>1411</v>
      </c>
      <c r="D2175" s="14" t="s">
        <v>9</v>
      </c>
      <c r="E2175" s="16"/>
      <c r="F2175" s="16">
        <v>6600</v>
      </c>
      <c r="G2175" s="9">
        <f t="shared" si="44"/>
        <v>-12140022</v>
      </c>
    </row>
    <row r="2176" spans="1:7" x14ac:dyDescent="0.2">
      <c r="A2176" s="12">
        <v>45364</v>
      </c>
      <c r="C2176" s="34" t="s">
        <v>1413</v>
      </c>
      <c r="D2176" s="1" t="s">
        <v>9</v>
      </c>
      <c r="E2176" s="3">
        <v>62835</v>
      </c>
      <c r="G2176" s="9">
        <f t="shared" si="44"/>
        <v>-12077187</v>
      </c>
    </row>
    <row r="2177" spans="1:9" x14ac:dyDescent="0.2">
      <c r="A2177" s="12">
        <v>45364</v>
      </c>
      <c r="C2177" s="34" t="s">
        <v>1407</v>
      </c>
      <c r="D2177" s="1" t="s">
        <v>9</v>
      </c>
      <c r="E2177" s="3">
        <v>93928</v>
      </c>
      <c r="G2177" s="9">
        <f t="shared" si="44"/>
        <v>-11983259</v>
      </c>
    </row>
    <row r="2178" spans="1:9" x14ac:dyDescent="0.2">
      <c r="A2178" s="12">
        <v>45364</v>
      </c>
      <c r="C2178" s="34" t="s">
        <v>1414</v>
      </c>
      <c r="D2178" s="1" t="s">
        <v>9</v>
      </c>
      <c r="E2178" s="3">
        <v>49843</v>
      </c>
      <c r="G2178" s="9">
        <f t="shared" si="44"/>
        <v>-11933416</v>
      </c>
    </row>
    <row r="2179" spans="1:9" x14ac:dyDescent="0.2">
      <c r="A2179" s="12">
        <v>45364</v>
      </c>
      <c r="C2179" s="34" t="s">
        <v>1415</v>
      </c>
      <c r="D2179" s="1" t="s">
        <v>9</v>
      </c>
      <c r="E2179" s="3">
        <v>596243</v>
      </c>
      <c r="G2179" s="9">
        <f t="shared" si="44"/>
        <v>-11337173</v>
      </c>
    </row>
    <row r="2180" spans="1:9" x14ac:dyDescent="0.2">
      <c r="A2180" s="12">
        <v>45364</v>
      </c>
      <c r="C2180" s="34" t="s">
        <v>1268</v>
      </c>
      <c r="D2180" s="1" t="s">
        <v>9</v>
      </c>
      <c r="E2180" s="3">
        <v>135118</v>
      </c>
      <c r="G2180" s="9">
        <f t="shared" si="44"/>
        <v>-11202055</v>
      </c>
    </row>
    <row r="2181" spans="1:9" x14ac:dyDescent="0.2">
      <c r="A2181" s="12">
        <v>45364</v>
      </c>
      <c r="C2181" s="34" t="s">
        <v>1416</v>
      </c>
      <c r="D2181" s="1" t="s">
        <v>9</v>
      </c>
      <c r="E2181" s="3">
        <v>836989</v>
      </c>
      <c r="G2181" s="9">
        <f t="shared" si="44"/>
        <v>-10365066</v>
      </c>
    </row>
    <row r="2182" spans="1:9" x14ac:dyDescent="0.2">
      <c r="A2182" s="12">
        <v>45364</v>
      </c>
      <c r="C2182" s="34" t="s">
        <v>1271</v>
      </c>
      <c r="D2182" s="1" t="s">
        <v>9</v>
      </c>
      <c r="E2182" s="3">
        <v>61677</v>
      </c>
      <c r="G2182" s="9">
        <f t="shared" si="44"/>
        <v>-10303389</v>
      </c>
    </row>
    <row r="2183" spans="1:9" x14ac:dyDescent="0.2">
      <c r="A2183" s="12">
        <v>45366</v>
      </c>
      <c r="C2183" s="2" t="s">
        <v>1292</v>
      </c>
      <c r="D2183" s="1" t="s">
        <v>9</v>
      </c>
      <c r="F2183" s="3">
        <f>650000</f>
        <v>650000</v>
      </c>
      <c r="G2183" s="9">
        <f t="shared" si="44"/>
        <v>-10953389</v>
      </c>
    </row>
    <row r="2184" spans="1:9" x14ac:dyDescent="0.2">
      <c r="A2184" s="12">
        <v>45366</v>
      </c>
      <c r="C2184" s="2" t="s">
        <v>1422</v>
      </c>
      <c r="D2184" s="1" t="s">
        <v>9</v>
      </c>
      <c r="F2184" s="3">
        <f>402043+275</f>
        <v>402318</v>
      </c>
      <c r="G2184" s="9">
        <f t="shared" ref="G2184:G2249" si="45">G2183+E2184-F2184</f>
        <v>-11355707</v>
      </c>
    </row>
    <row r="2185" spans="1:9" x14ac:dyDescent="0.2">
      <c r="A2185" s="12">
        <v>45366</v>
      </c>
      <c r="C2185" s="2" t="s">
        <v>1423</v>
      </c>
      <c r="D2185" s="1" t="s">
        <v>9</v>
      </c>
      <c r="F2185" s="3">
        <f>177866</f>
        <v>177866</v>
      </c>
      <c r="G2185" s="9">
        <f t="shared" si="45"/>
        <v>-11533573</v>
      </c>
    </row>
    <row r="2186" spans="1:9" x14ac:dyDescent="0.2">
      <c r="A2186" s="12">
        <v>45366</v>
      </c>
      <c r="C2186" s="2" t="s">
        <v>1424</v>
      </c>
      <c r="D2186" s="1" t="s">
        <v>9</v>
      </c>
      <c r="F2186" s="3">
        <f>500000+275</f>
        <v>500275</v>
      </c>
      <c r="G2186" s="9">
        <f t="shared" si="45"/>
        <v>-12033848</v>
      </c>
    </row>
    <row r="2187" spans="1:9" x14ac:dyDescent="0.2">
      <c r="A2187" s="12">
        <v>45366</v>
      </c>
      <c r="C2187" s="2" t="s">
        <v>1425</v>
      </c>
      <c r="D2187" s="1" t="s">
        <v>9</v>
      </c>
      <c r="F2187" s="3">
        <f>125288</f>
        <v>125288</v>
      </c>
      <c r="G2187" s="9">
        <f t="shared" si="45"/>
        <v>-12159136</v>
      </c>
      <c r="I2187" s="24"/>
    </row>
    <row r="2188" spans="1:9" x14ac:dyDescent="0.2">
      <c r="A2188" s="12">
        <v>45369</v>
      </c>
      <c r="C2188" s="34" t="s">
        <v>1427</v>
      </c>
      <c r="D2188" s="1" t="s">
        <v>9</v>
      </c>
      <c r="E2188" s="3">
        <v>148344</v>
      </c>
      <c r="G2188" s="9">
        <f t="shared" si="45"/>
        <v>-12010792</v>
      </c>
    </row>
    <row r="2189" spans="1:9" x14ac:dyDescent="0.2">
      <c r="A2189" s="12">
        <v>45369</v>
      </c>
      <c r="C2189" s="34" t="s">
        <v>1428</v>
      </c>
      <c r="D2189" s="1" t="s">
        <v>9</v>
      </c>
      <c r="E2189" s="3">
        <v>151748</v>
      </c>
      <c r="G2189" s="9">
        <f t="shared" si="45"/>
        <v>-11859044</v>
      </c>
    </row>
    <row r="2190" spans="1:9" x14ac:dyDescent="0.2">
      <c r="A2190" s="20">
        <v>45369</v>
      </c>
      <c r="B2190" s="21"/>
      <c r="C2190" s="22" t="s">
        <v>1287</v>
      </c>
      <c r="D2190" s="21" t="s">
        <v>9</v>
      </c>
      <c r="E2190" s="23">
        <v>814468</v>
      </c>
      <c r="F2190" s="23"/>
      <c r="G2190" s="9">
        <f t="shared" si="45"/>
        <v>-11044576</v>
      </c>
    </row>
    <row r="2191" spans="1:9" x14ac:dyDescent="0.2">
      <c r="A2191" s="12">
        <v>45369</v>
      </c>
      <c r="C2191" s="34" t="s">
        <v>1259</v>
      </c>
      <c r="D2191" s="1" t="s">
        <v>9</v>
      </c>
      <c r="E2191" s="3">
        <v>158592</v>
      </c>
      <c r="G2191" s="9">
        <f t="shared" si="45"/>
        <v>-10885984</v>
      </c>
    </row>
    <row r="2192" spans="1:9" x14ac:dyDescent="0.2">
      <c r="A2192" s="12">
        <v>45369</v>
      </c>
      <c r="C2192" s="34" t="s">
        <v>1272</v>
      </c>
      <c r="D2192" s="1" t="s">
        <v>9</v>
      </c>
      <c r="E2192" s="3">
        <v>490473</v>
      </c>
      <c r="G2192" s="9">
        <f t="shared" si="45"/>
        <v>-10395511</v>
      </c>
    </row>
    <row r="2193" spans="1:7" x14ac:dyDescent="0.2">
      <c r="A2193" s="37">
        <v>45369</v>
      </c>
      <c r="B2193" s="35"/>
      <c r="C2193" s="34" t="s">
        <v>1430</v>
      </c>
      <c r="D2193" s="35" t="s">
        <v>9</v>
      </c>
      <c r="E2193" s="36"/>
      <c r="F2193" s="36">
        <v>33919</v>
      </c>
      <c r="G2193" s="9">
        <f t="shared" si="45"/>
        <v>-10429430</v>
      </c>
    </row>
    <row r="2194" spans="1:7" x14ac:dyDescent="0.2">
      <c r="A2194" s="37">
        <v>45369</v>
      </c>
      <c r="B2194" s="35"/>
      <c r="C2194" s="34" t="s">
        <v>1429</v>
      </c>
      <c r="D2194" s="35" t="s">
        <v>9</v>
      </c>
      <c r="E2194" s="36"/>
      <c r="F2194" s="36">
        <v>5000</v>
      </c>
      <c r="G2194" s="9">
        <f t="shared" si="45"/>
        <v>-10434430</v>
      </c>
    </row>
    <row r="2195" spans="1:7" x14ac:dyDescent="0.2">
      <c r="A2195" s="37">
        <v>45369</v>
      </c>
      <c r="B2195" s="35"/>
      <c r="C2195" s="34" t="s">
        <v>1431</v>
      </c>
      <c r="D2195" s="35" t="s">
        <v>9</v>
      </c>
      <c r="E2195" s="36"/>
      <c r="F2195" s="36">
        <v>2758030</v>
      </c>
      <c r="G2195" s="9">
        <f t="shared" si="45"/>
        <v>-13192460</v>
      </c>
    </row>
    <row r="2196" spans="1:7" x14ac:dyDescent="0.2">
      <c r="A2196" s="37">
        <v>45369</v>
      </c>
      <c r="B2196" s="35"/>
      <c r="C2196" s="34" t="s">
        <v>1429</v>
      </c>
      <c r="D2196" s="35" t="s">
        <v>9</v>
      </c>
      <c r="E2196" s="36"/>
      <c r="F2196" s="36">
        <v>5000</v>
      </c>
      <c r="G2196" s="9">
        <f t="shared" si="45"/>
        <v>-13197460</v>
      </c>
    </row>
    <row r="2197" spans="1:7" x14ac:dyDescent="0.2">
      <c r="A2197" s="12">
        <v>45369</v>
      </c>
      <c r="B2197" s="1" t="s">
        <v>1432</v>
      </c>
      <c r="C2197" s="2" t="s">
        <v>1433</v>
      </c>
      <c r="D2197" s="1" t="s">
        <v>9</v>
      </c>
      <c r="F2197" s="3">
        <v>1800000</v>
      </c>
      <c r="G2197" s="9">
        <f t="shared" si="45"/>
        <v>-14997460</v>
      </c>
    </row>
    <row r="2198" spans="1:7" x14ac:dyDescent="0.2">
      <c r="A2198" s="12">
        <v>45369</v>
      </c>
      <c r="C2198" s="2" t="s">
        <v>555</v>
      </c>
      <c r="D2198" s="1" t="s">
        <v>9</v>
      </c>
      <c r="E2198" s="3">
        <v>195290</v>
      </c>
      <c r="G2198" s="9">
        <f t="shared" si="45"/>
        <v>-14802170</v>
      </c>
    </row>
    <row r="2199" spans="1:7" x14ac:dyDescent="0.2">
      <c r="A2199" s="37">
        <v>45369</v>
      </c>
      <c r="B2199" s="35"/>
      <c r="C2199" s="34" t="s">
        <v>698</v>
      </c>
      <c r="D2199" s="35" t="s">
        <v>9</v>
      </c>
      <c r="E2199" s="36">
        <v>26472</v>
      </c>
      <c r="G2199" s="9">
        <f t="shared" si="45"/>
        <v>-14775698</v>
      </c>
    </row>
    <row r="2200" spans="1:7" x14ac:dyDescent="0.2">
      <c r="A2200" s="12">
        <v>45369</v>
      </c>
      <c r="C2200" s="2" t="s">
        <v>498</v>
      </c>
      <c r="D2200" s="1" t="s">
        <v>9</v>
      </c>
      <c r="E2200" s="3">
        <v>4236990</v>
      </c>
      <c r="G2200" s="9">
        <f t="shared" si="45"/>
        <v>-10538708</v>
      </c>
    </row>
    <row r="2201" spans="1:7" x14ac:dyDescent="0.2">
      <c r="A2201" s="12">
        <v>45371</v>
      </c>
      <c r="C2201" s="2" t="s">
        <v>701</v>
      </c>
      <c r="D2201" s="1" t="s">
        <v>9</v>
      </c>
      <c r="E2201" s="3">
        <v>1095577</v>
      </c>
      <c r="G2201" s="9">
        <f t="shared" si="45"/>
        <v>-9443131</v>
      </c>
    </row>
    <row r="2202" spans="1:7" x14ac:dyDescent="0.2">
      <c r="A2202" s="12">
        <v>45372</v>
      </c>
      <c r="B2202" s="1" t="s">
        <v>1434</v>
      </c>
      <c r="C2202" s="34" t="s">
        <v>1435</v>
      </c>
      <c r="D2202" s="1" t="s">
        <v>9</v>
      </c>
      <c r="F2202" s="3">
        <v>416990</v>
      </c>
      <c r="G2202" s="9">
        <f t="shared" si="45"/>
        <v>-9860121</v>
      </c>
    </row>
    <row r="2203" spans="1:7" x14ac:dyDescent="0.2">
      <c r="A2203" s="12">
        <v>45372</v>
      </c>
      <c r="C2203" s="2" t="s">
        <v>1060</v>
      </c>
      <c r="D2203" s="1" t="s">
        <v>9</v>
      </c>
      <c r="E2203" s="3">
        <v>235705</v>
      </c>
      <c r="G2203" s="9">
        <f t="shared" si="45"/>
        <v>-9624416</v>
      </c>
    </row>
    <row r="2204" spans="1:7" x14ac:dyDescent="0.2">
      <c r="A2204" s="12">
        <v>45372</v>
      </c>
      <c r="C2204" s="34" t="s">
        <v>1319</v>
      </c>
      <c r="D2204" s="1" t="s">
        <v>9</v>
      </c>
      <c r="E2204" s="3">
        <v>387600</v>
      </c>
      <c r="G2204" s="9">
        <f t="shared" si="45"/>
        <v>-9236816</v>
      </c>
    </row>
    <row r="2205" spans="1:7" x14ac:dyDescent="0.2">
      <c r="A2205" s="12">
        <v>45372</v>
      </c>
      <c r="C2205" s="34" t="s">
        <v>1436</v>
      </c>
      <c r="D2205" s="1" t="s">
        <v>9</v>
      </c>
      <c r="E2205" s="3">
        <v>265335</v>
      </c>
      <c r="G2205" s="9">
        <f t="shared" si="45"/>
        <v>-8971481</v>
      </c>
    </row>
    <row r="2206" spans="1:7" x14ac:dyDescent="0.2">
      <c r="A2206" s="12">
        <v>45372</v>
      </c>
      <c r="C2206" s="34" t="s">
        <v>1333</v>
      </c>
      <c r="D2206" s="1" t="s">
        <v>9</v>
      </c>
      <c r="E2206" s="3">
        <v>802650</v>
      </c>
      <c r="G2206" s="9">
        <f t="shared" si="45"/>
        <v>-8168831</v>
      </c>
    </row>
    <row r="2207" spans="1:7" x14ac:dyDescent="0.2">
      <c r="A2207" s="12">
        <v>45372</v>
      </c>
      <c r="C2207" s="34" t="s">
        <v>1437</v>
      </c>
      <c r="D2207" s="1" t="s">
        <v>9</v>
      </c>
      <c r="E2207" s="3">
        <v>1219480</v>
      </c>
      <c r="G2207" s="9">
        <f t="shared" si="45"/>
        <v>-6949351</v>
      </c>
    </row>
    <row r="2208" spans="1:7" x14ac:dyDescent="0.2">
      <c r="A2208" s="12">
        <v>45372</v>
      </c>
      <c r="C2208" s="34" t="s">
        <v>1330</v>
      </c>
      <c r="D2208" s="1" t="s">
        <v>9</v>
      </c>
      <c r="E2208" s="3">
        <v>269606</v>
      </c>
      <c r="G2208" s="9">
        <f t="shared" si="45"/>
        <v>-6679745</v>
      </c>
    </row>
    <row r="2209" spans="1:7" x14ac:dyDescent="0.2">
      <c r="A2209" s="12">
        <v>45372</v>
      </c>
      <c r="C2209" s="34" t="s">
        <v>1310</v>
      </c>
      <c r="D2209" s="1" t="s">
        <v>9</v>
      </c>
      <c r="E2209" s="3">
        <v>20060</v>
      </c>
      <c r="G2209" s="9">
        <f t="shared" si="45"/>
        <v>-6659685</v>
      </c>
    </row>
    <row r="2210" spans="1:7" x14ac:dyDescent="0.2">
      <c r="A2210" s="12">
        <v>45372</v>
      </c>
      <c r="C2210" s="2" t="s">
        <v>607</v>
      </c>
      <c r="D2210" s="1" t="s">
        <v>9</v>
      </c>
      <c r="E2210" s="3">
        <v>46449</v>
      </c>
      <c r="G2210" s="9">
        <f t="shared" si="45"/>
        <v>-6613236</v>
      </c>
    </row>
    <row r="2211" spans="1:7" x14ac:dyDescent="0.2">
      <c r="A2211" s="12">
        <v>45373</v>
      </c>
      <c r="C2211" s="34" t="s">
        <v>1342</v>
      </c>
      <c r="D2211" s="1" t="s">
        <v>9</v>
      </c>
      <c r="E2211" s="3">
        <v>19653</v>
      </c>
      <c r="G2211" s="9">
        <f t="shared" si="45"/>
        <v>-6593583</v>
      </c>
    </row>
    <row r="2212" spans="1:7" x14ac:dyDescent="0.2">
      <c r="A2212" s="12">
        <v>45373</v>
      </c>
      <c r="C2212" s="34" t="s">
        <v>1438</v>
      </c>
      <c r="D2212" s="1" t="s">
        <v>9</v>
      </c>
      <c r="E2212" s="3">
        <v>854177</v>
      </c>
      <c r="G2212" s="9">
        <f t="shared" si="45"/>
        <v>-5739406</v>
      </c>
    </row>
    <row r="2213" spans="1:7" x14ac:dyDescent="0.2">
      <c r="A2213" s="12">
        <v>45373</v>
      </c>
      <c r="C2213" s="34" t="s">
        <v>1439</v>
      </c>
      <c r="D2213" s="1" t="s">
        <v>9</v>
      </c>
      <c r="E2213" s="3">
        <v>495600</v>
      </c>
      <c r="G2213" s="9">
        <f t="shared" si="45"/>
        <v>-5243806</v>
      </c>
    </row>
    <row r="2214" spans="1:7" x14ac:dyDescent="0.2">
      <c r="A2214" s="12">
        <v>45373</v>
      </c>
      <c r="C2214" s="34" t="s">
        <v>1440</v>
      </c>
      <c r="D2214" s="1" t="s">
        <v>9</v>
      </c>
      <c r="E2214" s="3">
        <v>45287</v>
      </c>
      <c r="G2214" s="9">
        <f t="shared" si="45"/>
        <v>-5198519</v>
      </c>
    </row>
    <row r="2215" spans="1:7" x14ac:dyDescent="0.2">
      <c r="A2215" s="37">
        <v>45373</v>
      </c>
      <c r="B2215" s="35"/>
      <c r="C2215" s="34" t="s">
        <v>1116</v>
      </c>
      <c r="D2215" s="35" t="s">
        <v>9</v>
      </c>
      <c r="E2215" s="36"/>
      <c r="F2215" s="36">
        <v>814468</v>
      </c>
      <c r="G2215" s="9">
        <f t="shared" si="45"/>
        <v>-6012987</v>
      </c>
    </row>
    <row r="2216" spans="1:7" x14ac:dyDescent="0.2">
      <c r="A2216" s="12">
        <v>45373</v>
      </c>
      <c r="C2216" s="2" t="s">
        <v>1441</v>
      </c>
      <c r="D2216" s="1" t="s">
        <v>9</v>
      </c>
      <c r="E2216" s="3">
        <v>65535</v>
      </c>
      <c r="G2216" s="9">
        <f t="shared" si="45"/>
        <v>-5947452</v>
      </c>
    </row>
    <row r="2217" spans="1:7" x14ac:dyDescent="0.2">
      <c r="A2217" s="12">
        <v>45373</v>
      </c>
      <c r="C2217" s="2" t="s">
        <v>1441</v>
      </c>
      <c r="D2217" s="1" t="s">
        <v>9</v>
      </c>
      <c r="E2217" s="3">
        <v>99535</v>
      </c>
      <c r="G2217" s="9">
        <f t="shared" si="45"/>
        <v>-5847917</v>
      </c>
    </row>
    <row r="2218" spans="1:7" x14ac:dyDescent="0.2">
      <c r="A2218" s="12">
        <v>45376</v>
      </c>
      <c r="C2218" s="34" t="s">
        <v>27</v>
      </c>
      <c r="D2218" s="35" t="s">
        <v>9</v>
      </c>
      <c r="E2218" s="36"/>
      <c r="F2218" s="36">
        <v>150000</v>
      </c>
      <c r="G2218" s="9">
        <f t="shared" si="45"/>
        <v>-5997917</v>
      </c>
    </row>
    <row r="2219" spans="1:7" x14ac:dyDescent="0.2">
      <c r="A2219" s="12">
        <v>45377</v>
      </c>
      <c r="C2219" s="2" t="s">
        <v>1053</v>
      </c>
      <c r="D2219" s="1" t="s">
        <v>9</v>
      </c>
      <c r="E2219" s="3">
        <v>347055</v>
      </c>
      <c r="G2219" s="9">
        <f t="shared" si="45"/>
        <v>-5650862</v>
      </c>
    </row>
    <row r="2220" spans="1:7" x14ac:dyDescent="0.2">
      <c r="A2220" s="12">
        <v>45377</v>
      </c>
      <c r="B2220" s="35"/>
      <c r="C2220" s="34" t="s">
        <v>1445</v>
      </c>
      <c r="D2220" s="35" t="s">
        <v>9</v>
      </c>
      <c r="E2220" s="36">
        <v>150000</v>
      </c>
      <c r="F2220" s="36"/>
      <c r="G2220" s="9">
        <f t="shared" si="45"/>
        <v>-5500862</v>
      </c>
    </row>
    <row r="2221" spans="1:7" x14ac:dyDescent="0.2">
      <c r="A2221" s="12">
        <v>45377</v>
      </c>
      <c r="B2221" s="35"/>
      <c r="C2221" s="34" t="s">
        <v>1442</v>
      </c>
      <c r="D2221" s="35" t="s">
        <v>9</v>
      </c>
      <c r="E2221" s="36">
        <v>254792</v>
      </c>
      <c r="F2221" s="36"/>
      <c r="G2221" s="9">
        <f t="shared" si="45"/>
        <v>-5246070</v>
      </c>
    </row>
    <row r="2222" spans="1:7" x14ac:dyDescent="0.2">
      <c r="A2222" s="12">
        <v>45377</v>
      </c>
      <c r="B2222" s="35"/>
      <c r="C2222" s="34" t="s">
        <v>1443</v>
      </c>
      <c r="D2222" s="35" t="s">
        <v>9</v>
      </c>
      <c r="E2222" s="36">
        <v>955474</v>
      </c>
      <c r="F2222" s="36"/>
      <c r="G2222" s="9">
        <f t="shared" si="45"/>
        <v>-4290596</v>
      </c>
    </row>
    <row r="2223" spans="1:7" x14ac:dyDescent="0.2">
      <c r="A2223" s="12">
        <v>45377</v>
      </c>
      <c r="B2223" s="35"/>
      <c r="C2223" s="34" t="s">
        <v>1287</v>
      </c>
      <c r="D2223" s="35" t="s">
        <v>9</v>
      </c>
      <c r="E2223" s="36">
        <v>814468</v>
      </c>
      <c r="F2223" s="36"/>
      <c r="G2223" s="9">
        <f t="shared" si="45"/>
        <v>-3476128</v>
      </c>
    </row>
    <row r="2224" spans="1:7" x14ac:dyDescent="0.2">
      <c r="A2224" s="37">
        <v>45378</v>
      </c>
      <c r="B2224" s="35"/>
      <c r="C2224" s="34" t="s">
        <v>698</v>
      </c>
      <c r="D2224" s="35" t="s">
        <v>9</v>
      </c>
      <c r="E2224" s="36">
        <v>88000</v>
      </c>
      <c r="G2224" s="9">
        <f t="shared" si="45"/>
        <v>-3388128</v>
      </c>
    </row>
    <row r="2225" spans="1:9" x14ac:dyDescent="0.2">
      <c r="A2225" s="12">
        <v>45379</v>
      </c>
      <c r="C2225" s="18" t="s">
        <v>1444</v>
      </c>
      <c r="D2225" s="1" t="s">
        <v>9</v>
      </c>
      <c r="F2225" s="3">
        <v>1000000</v>
      </c>
      <c r="G2225" s="9">
        <f t="shared" si="45"/>
        <v>-4388128</v>
      </c>
    </row>
    <row r="2226" spans="1:9" x14ac:dyDescent="0.2">
      <c r="A2226" s="12">
        <v>45379</v>
      </c>
      <c r="C2226" s="2" t="s">
        <v>34</v>
      </c>
      <c r="D2226" s="1" t="s">
        <v>9</v>
      </c>
      <c r="F2226" s="3">
        <v>138</v>
      </c>
      <c r="G2226" s="9">
        <f t="shared" si="45"/>
        <v>-4388266</v>
      </c>
    </row>
    <row r="2227" spans="1:9" x14ac:dyDescent="0.2">
      <c r="A2227" s="12">
        <v>45379</v>
      </c>
      <c r="C2227" s="18" t="s">
        <v>1444</v>
      </c>
      <c r="D2227" s="1" t="s">
        <v>9</v>
      </c>
      <c r="F2227" s="3">
        <v>3692189</v>
      </c>
      <c r="G2227" s="9">
        <f t="shared" si="45"/>
        <v>-8080455</v>
      </c>
    </row>
    <row r="2228" spans="1:9" x14ac:dyDescent="0.2">
      <c r="A2228" s="12">
        <v>45379</v>
      </c>
      <c r="C2228" s="2" t="s">
        <v>34</v>
      </c>
      <c r="D2228" s="1" t="s">
        <v>9</v>
      </c>
      <c r="F2228" s="3">
        <v>275</v>
      </c>
      <c r="G2228" s="9">
        <f t="shared" si="45"/>
        <v>-8080730</v>
      </c>
    </row>
    <row r="2229" spans="1:9" x14ac:dyDescent="0.2">
      <c r="A2229" s="12">
        <v>45380</v>
      </c>
      <c r="C2229" s="2" t="s">
        <v>61</v>
      </c>
      <c r="D2229" s="1" t="s">
        <v>9</v>
      </c>
      <c r="E2229" s="3">
        <v>130845</v>
      </c>
      <c r="G2229" s="9">
        <f t="shared" si="45"/>
        <v>-7949885</v>
      </c>
    </row>
    <row r="2230" spans="1:9" x14ac:dyDescent="0.2">
      <c r="A2230" s="12">
        <v>45380</v>
      </c>
      <c r="C2230" s="2" t="s">
        <v>1452</v>
      </c>
      <c r="D2230" s="1" t="s">
        <v>9</v>
      </c>
      <c r="F2230" s="3">
        <v>178393</v>
      </c>
      <c r="G2230" s="9">
        <f t="shared" si="45"/>
        <v>-8128278</v>
      </c>
    </row>
    <row r="2231" spans="1:9" x14ac:dyDescent="0.2">
      <c r="A2231" s="13">
        <v>45379</v>
      </c>
      <c r="B2231" s="14"/>
      <c r="C2231" s="15" t="s">
        <v>1446</v>
      </c>
      <c r="D2231" s="14" t="s">
        <v>9</v>
      </c>
      <c r="E2231" s="16"/>
      <c r="F2231" s="16">
        <v>150000</v>
      </c>
      <c r="G2231" s="9">
        <f t="shared" si="45"/>
        <v>-8278278</v>
      </c>
      <c r="I2231" s="24">
        <v>-8465925</v>
      </c>
    </row>
    <row r="2232" spans="1:9" x14ac:dyDescent="0.2">
      <c r="A2232" s="13">
        <v>45379</v>
      </c>
      <c r="B2232" s="14"/>
      <c r="C2232" s="15" t="s">
        <v>588</v>
      </c>
      <c r="D2232" s="14" t="s">
        <v>9</v>
      </c>
      <c r="E2232" s="16"/>
      <c r="F2232" s="16">
        <v>6600</v>
      </c>
      <c r="G2232" s="9">
        <f t="shared" si="45"/>
        <v>-8284878</v>
      </c>
      <c r="I2232" s="9">
        <f>I2231+E1686</f>
        <v>-8284878</v>
      </c>
    </row>
    <row r="2233" spans="1:9" ht="15.75" x14ac:dyDescent="0.25">
      <c r="A2233" s="10" t="s">
        <v>1495</v>
      </c>
      <c r="G2233" s="9"/>
    </row>
    <row r="2234" spans="1:9" x14ac:dyDescent="0.2">
      <c r="A2234" s="11" t="s">
        <v>2</v>
      </c>
      <c r="B2234" s="5" t="s">
        <v>1</v>
      </c>
      <c r="C2234" s="5" t="s">
        <v>3</v>
      </c>
      <c r="D2234" s="5"/>
      <c r="E2234" s="7" t="s">
        <v>4</v>
      </c>
      <c r="F2234" s="7" t="s">
        <v>6</v>
      </c>
      <c r="G2234" s="8" t="s">
        <v>5</v>
      </c>
    </row>
    <row r="2235" spans="1:9" x14ac:dyDescent="0.2">
      <c r="A2235" s="12">
        <v>45384</v>
      </c>
      <c r="C2235" s="34" t="s">
        <v>1339</v>
      </c>
      <c r="D2235" s="1" t="s">
        <v>9</v>
      </c>
      <c r="E2235" s="3">
        <v>153532</v>
      </c>
      <c r="G2235" s="9">
        <f>G2232+E2235-F2235</f>
        <v>-8131346</v>
      </c>
    </row>
    <row r="2236" spans="1:9" x14ac:dyDescent="0.2">
      <c r="A2236" s="12">
        <v>45384</v>
      </c>
      <c r="C2236" s="34" t="s">
        <v>1256</v>
      </c>
      <c r="D2236" s="1" t="s">
        <v>9</v>
      </c>
      <c r="E2236" s="3">
        <v>62304</v>
      </c>
      <c r="G2236" s="9">
        <f t="shared" si="45"/>
        <v>-8069042</v>
      </c>
    </row>
    <row r="2237" spans="1:9" x14ac:dyDescent="0.2">
      <c r="A2237" s="12">
        <v>45384</v>
      </c>
      <c r="C2237" s="34" t="s">
        <v>1227</v>
      </c>
      <c r="D2237" s="1" t="s">
        <v>9</v>
      </c>
      <c r="E2237" s="3">
        <v>106643</v>
      </c>
      <c r="G2237" s="9">
        <f t="shared" si="45"/>
        <v>-7962399</v>
      </c>
    </row>
    <row r="2238" spans="1:9" x14ac:dyDescent="0.2">
      <c r="A2238" s="12">
        <v>45384</v>
      </c>
      <c r="C2238" s="34" t="s">
        <v>1447</v>
      </c>
      <c r="D2238" s="1" t="s">
        <v>9</v>
      </c>
      <c r="E2238" s="3">
        <v>306923</v>
      </c>
      <c r="G2238" s="9">
        <f t="shared" si="45"/>
        <v>-7655476</v>
      </c>
    </row>
    <row r="2239" spans="1:9" x14ac:dyDescent="0.2">
      <c r="A2239" s="12">
        <v>45384</v>
      </c>
      <c r="C2239" s="34" t="s">
        <v>1448</v>
      </c>
      <c r="D2239" s="1" t="s">
        <v>9</v>
      </c>
      <c r="E2239" s="3">
        <v>61360</v>
      </c>
      <c r="G2239" s="9">
        <f t="shared" si="45"/>
        <v>-7594116</v>
      </c>
    </row>
    <row r="2240" spans="1:9" x14ac:dyDescent="0.2">
      <c r="A2240" s="12">
        <v>45384</v>
      </c>
      <c r="C2240" s="2" t="s">
        <v>137</v>
      </c>
      <c r="D2240" s="1" t="s">
        <v>9</v>
      </c>
      <c r="E2240" s="3">
        <v>599367</v>
      </c>
      <c r="G2240" s="9">
        <f t="shared" si="45"/>
        <v>-6994749</v>
      </c>
    </row>
    <row r="2241" spans="1:7" x14ac:dyDescent="0.2">
      <c r="A2241" s="12">
        <v>45384</v>
      </c>
      <c r="C2241" s="2" t="s">
        <v>783</v>
      </c>
      <c r="D2241" s="1" t="s">
        <v>9</v>
      </c>
      <c r="E2241" s="3">
        <v>1400613</v>
      </c>
      <c r="G2241" s="9">
        <f t="shared" si="45"/>
        <v>-5594136</v>
      </c>
    </row>
    <row r="2242" spans="1:7" x14ac:dyDescent="0.2">
      <c r="A2242" s="12">
        <v>45385</v>
      </c>
      <c r="C2242" s="2" t="s">
        <v>1362</v>
      </c>
      <c r="D2242" s="1" t="s">
        <v>9</v>
      </c>
      <c r="F2242" s="3">
        <v>487589</v>
      </c>
      <c r="G2242" s="9">
        <f t="shared" si="45"/>
        <v>-6081725</v>
      </c>
    </row>
    <row r="2243" spans="1:7" x14ac:dyDescent="0.2">
      <c r="A2243" s="12">
        <v>45385</v>
      </c>
      <c r="C2243" s="2" t="s">
        <v>35</v>
      </c>
      <c r="D2243" s="1" t="s">
        <v>9</v>
      </c>
      <c r="F2243" s="3">
        <v>6600</v>
      </c>
      <c r="G2243" s="9">
        <f t="shared" si="45"/>
        <v>-6088325</v>
      </c>
    </row>
    <row r="2244" spans="1:7" x14ac:dyDescent="0.2">
      <c r="A2244" s="37">
        <v>45385</v>
      </c>
      <c r="B2244" s="35"/>
      <c r="C2244" s="34" t="s">
        <v>1457</v>
      </c>
      <c r="D2244" s="35" t="s">
        <v>9</v>
      </c>
      <c r="E2244" s="36">
        <v>490990</v>
      </c>
      <c r="F2244" s="36"/>
      <c r="G2244" s="9">
        <f t="shared" si="45"/>
        <v>-5597335</v>
      </c>
    </row>
    <row r="2245" spans="1:7" x14ac:dyDescent="0.2">
      <c r="A2245" s="37">
        <v>45386</v>
      </c>
      <c r="B2245" s="35" t="s">
        <v>1449</v>
      </c>
      <c r="C2245" s="34" t="s">
        <v>1458</v>
      </c>
      <c r="D2245" s="35" t="s">
        <v>9</v>
      </c>
      <c r="E2245" s="36"/>
      <c r="F2245" s="36">
        <v>935000</v>
      </c>
      <c r="G2245" s="9">
        <f t="shared" si="45"/>
        <v>-6532335</v>
      </c>
    </row>
    <row r="2246" spans="1:7" x14ac:dyDescent="0.2">
      <c r="A2246" s="12">
        <v>45386</v>
      </c>
      <c r="C2246" s="2" t="s">
        <v>1450</v>
      </c>
      <c r="D2246" s="1" t="s">
        <v>9</v>
      </c>
      <c r="E2246" s="3">
        <v>33815</v>
      </c>
      <c r="G2246" s="9">
        <f t="shared" si="45"/>
        <v>-6498520</v>
      </c>
    </row>
    <row r="2247" spans="1:7" x14ac:dyDescent="0.2">
      <c r="A2247" s="12">
        <v>45386</v>
      </c>
      <c r="C2247" s="2" t="s">
        <v>1451</v>
      </c>
      <c r="D2247" s="1" t="s">
        <v>9</v>
      </c>
      <c r="F2247" s="3">
        <v>33816</v>
      </c>
      <c r="G2247" s="9">
        <f t="shared" si="45"/>
        <v>-6532336</v>
      </c>
    </row>
    <row r="2248" spans="1:7" x14ac:dyDescent="0.2">
      <c r="A2248" s="12">
        <v>45387</v>
      </c>
      <c r="C2248" s="34" t="s">
        <v>1453</v>
      </c>
      <c r="D2248" s="1" t="s">
        <v>9</v>
      </c>
      <c r="E2248" s="3">
        <v>1124915</v>
      </c>
      <c r="G2248" s="9">
        <f t="shared" si="45"/>
        <v>-5407421</v>
      </c>
    </row>
    <row r="2249" spans="1:7" x14ac:dyDescent="0.2">
      <c r="A2249" s="12">
        <v>45387</v>
      </c>
      <c r="C2249" s="34" t="s">
        <v>1455</v>
      </c>
      <c r="D2249" s="1" t="s">
        <v>9</v>
      </c>
      <c r="E2249" s="3">
        <v>800000</v>
      </c>
      <c r="G2249" s="9">
        <f t="shared" si="45"/>
        <v>-4607421</v>
      </c>
    </row>
    <row r="2250" spans="1:7" x14ac:dyDescent="0.2">
      <c r="A2250" s="12">
        <v>45387</v>
      </c>
      <c r="C2250" s="34" t="s">
        <v>1268</v>
      </c>
      <c r="D2250" s="1" t="s">
        <v>9</v>
      </c>
      <c r="E2250" s="3">
        <v>189612</v>
      </c>
      <c r="G2250" s="9">
        <f t="shared" ref="G2250:G2313" si="46">G2249+E2250-F2250</f>
        <v>-4417809</v>
      </c>
    </row>
    <row r="2251" spans="1:7" x14ac:dyDescent="0.2">
      <c r="A2251" s="12">
        <v>45387</v>
      </c>
      <c r="C2251" s="34" t="s">
        <v>1257</v>
      </c>
      <c r="D2251" s="1" t="s">
        <v>9</v>
      </c>
      <c r="E2251" s="3">
        <v>96640</v>
      </c>
      <c r="G2251" s="9">
        <f t="shared" si="46"/>
        <v>-4321169</v>
      </c>
    </row>
    <row r="2252" spans="1:7" x14ac:dyDescent="0.2">
      <c r="A2252" s="12">
        <v>45390</v>
      </c>
      <c r="C2252" s="2" t="s">
        <v>1459</v>
      </c>
      <c r="D2252" s="1" t="s">
        <v>9</v>
      </c>
      <c r="F2252" s="3">
        <f>6550826+154679</f>
        <v>6705505</v>
      </c>
      <c r="G2252" s="9">
        <f t="shared" si="46"/>
        <v>-11026674</v>
      </c>
    </row>
    <row r="2253" spans="1:7" x14ac:dyDescent="0.2">
      <c r="A2253" s="12">
        <v>45390</v>
      </c>
      <c r="C2253" s="34" t="s">
        <v>1287</v>
      </c>
      <c r="D2253" s="1" t="s">
        <v>9</v>
      </c>
      <c r="E2253" s="3">
        <v>600000</v>
      </c>
      <c r="G2253" s="9">
        <f t="shared" si="46"/>
        <v>-10426674</v>
      </c>
    </row>
    <row r="2254" spans="1:7" x14ac:dyDescent="0.2">
      <c r="A2254" s="12">
        <v>45390</v>
      </c>
      <c r="C2254" s="34" t="s">
        <v>1460</v>
      </c>
      <c r="D2254" s="1" t="s">
        <v>9</v>
      </c>
      <c r="E2254" s="3">
        <v>92936</v>
      </c>
      <c r="G2254" s="9">
        <f t="shared" si="46"/>
        <v>-10333738</v>
      </c>
    </row>
    <row r="2255" spans="1:7" x14ac:dyDescent="0.2">
      <c r="A2255" s="12">
        <v>45390</v>
      </c>
      <c r="C2255" s="34" t="s">
        <v>1460</v>
      </c>
      <c r="D2255" s="1" t="s">
        <v>9</v>
      </c>
      <c r="E2255" s="3">
        <v>263907</v>
      </c>
      <c r="G2255" s="9">
        <f t="shared" si="46"/>
        <v>-10069831</v>
      </c>
    </row>
    <row r="2256" spans="1:7" x14ac:dyDescent="0.2">
      <c r="A2256" s="12">
        <v>45393</v>
      </c>
      <c r="C2256" s="34" t="s">
        <v>1406</v>
      </c>
      <c r="D2256" s="1" t="s">
        <v>9</v>
      </c>
      <c r="E2256" s="3">
        <v>61218</v>
      </c>
      <c r="G2256" s="9">
        <f t="shared" si="46"/>
        <v>-10008613</v>
      </c>
    </row>
    <row r="2257" spans="1:7" x14ac:dyDescent="0.2">
      <c r="A2257" s="12">
        <v>45393</v>
      </c>
      <c r="C2257" s="34" t="s">
        <v>1464</v>
      </c>
      <c r="D2257" s="1" t="s">
        <v>9</v>
      </c>
      <c r="E2257" s="3">
        <v>281844</v>
      </c>
      <c r="G2257" s="9">
        <f t="shared" si="46"/>
        <v>-9726769</v>
      </c>
    </row>
    <row r="2258" spans="1:7" x14ac:dyDescent="0.2">
      <c r="A2258" s="12">
        <v>45393</v>
      </c>
      <c r="C2258" s="34" t="s">
        <v>1265</v>
      </c>
      <c r="D2258" s="1" t="s">
        <v>9</v>
      </c>
      <c r="E2258" s="3">
        <v>745562</v>
      </c>
      <c r="G2258" s="9">
        <f t="shared" si="46"/>
        <v>-8981207</v>
      </c>
    </row>
    <row r="2259" spans="1:7" x14ac:dyDescent="0.2">
      <c r="A2259" s="12">
        <v>45393</v>
      </c>
      <c r="C2259" s="34" t="s">
        <v>1465</v>
      </c>
      <c r="D2259" s="1" t="s">
        <v>9</v>
      </c>
      <c r="E2259" s="3">
        <v>228006</v>
      </c>
      <c r="G2259" s="9">
        <f t="shared" si="46"/>
        <v>-8753201</v>
      </c>
    </row>
    <row r="2260" spans="1:7" x14ac:dyDescent="0.2">
      <c r="A2260" s="12">
        <v>45393</v>
      </c>
      <c r="C2260" s="34" t="s">
        <v>1320</v>
      </c>
      <c r="D2260" s="1" t="s">
        <v>9</v>
      </c>
      <c r="E2260" s="3">
        <v>153241</v>
      </c>
      <c r="G2260" s="9">
        <f t="shared" si="46"/>
        <v>-8599960</v>
      </c>
    </row>
    <row r="2261" spans="1:7" x14ac:dyDescent="0.2">
      <c r="A2261" s="12">
        <v>45393</v>
      </c>
      <c r="C2261" s="34" t="s">
        <v>1351</v>
      </c>
      <c r="D2261" s="1" t="s">
        <v>9</v>
      </c>
      <c r="E2261" s="3">
        <v>24922</v>
      </c>
      <c r="G2261" s="9">
        <f t="shared" si="46"/>
        <v>-8575038</v>
      </c>
    </row>
    <row r="2262" spans="1:7" x14ac:dyDescent="0.2">
      <c r="A2262" s="12">
        <v>45393</v>
      </c>
      <c r="C2262" s="2" t="s">
        <v>35</v>
      </c>
      <c r="D2262" s="1" t="s">
        <v>9</v>
      </c>
      <c r="F2262" s="3">
        <v>6600</v>
      </c>
      <c r="G2262" s="9">
        <f t="shared" si="46"/>
        <v>-8581638</v>
      </c>
    </row>
    <row r="2263" spans="1:7" x14ac:dyDescent="0.2">
      <c r="A2263" s="12">
        <v>45393</v>
      </c>
      <c r="C2263" s="2" t="s">
        <v>1466</v>
      </c>
      <c r="D2263" s="1" t="s">
        <v>9</v>
      </c>
      <c r="E2263" s="3">
        <v>627642</v>
      </c>
      <c r="G2263" s="9">
        <f t="shared" si="46"/>
        <v>-7953996</v>
      </c>
    </row>
    <row r="2264" spans="1:7" x14ac:dyDescent="0.2">
      <c r="A2264" s="12">
        <v>45394</v>
      </c>
      <c r="C2264" s="2" t="s">
        <v>1467</v>
      </c>
      <c r="D2264" s="1" t="s">
        <v>9</v>
      </c>
      <c r="E2264" s="3">
        <v>500000</v>
      </c>
      <c r="G2264" s="9">
        <f t="shared" si="46"/>
        <v>-7453996</v>
      </c>
    </row>
    <row r="2265" spans="1:7" x14ac:dyDescent="0.2">
      <c r="A2265" s="12">
        <v>45394</v>
      </c>
      <c r="C2265" s="2" t="s">
        <v>53</v>
      </c>
      <c r="D2265" s="1" t="s">
        <v>9</v>
      </c>
      <c r="F2265" s="3">
        <v>100</v>
      </c>
      <c r="G2265" s="9">
        <f t="shared" si="46"/>
        <v>-7454096</v>
      </c>
    </row>
    <row r="2266" spans="1:7" x14ac:dyDescent="0.2">
      <c r="A2266" s="12">
        <v>45394</v>
      </c>
      <c r="C2266" s="2" t="s">
        <v>555</v>
      </c>
      <c r="D2266" s="1" t="s">
        <v>9</v>
      </c>
      <c r="E2266" s="3">
        <v>452992</v>
      </c>
      <c r="G2266" s="9">
        <f t="shared" si="46"/>
        <v>-7001104</v>
      </c>
    </row>
    <row r="2267" spans="1:7" x14ac:dyDescent="0.2">
      <c r="A2267" s="12">
        <v>45394</v>
      </c>
      <c r="C2267" s="2" t="s">
        <v>783</v>
      </c>
      <c r="D2267" s="1" t="s">
        <v>9</v>
      </c>
      <c r="E2267" s="3">
        <v>673544</v>
      </c>
      <c r="G2267" s="9">
        <f t="shared" si="46"/>
        <v>-6327560</v>
      </c>
    </row>
    <row r="2268" spans="1:7" x14ac:dyDescent="0.2">
      <c r="A2268" s="12">
        <v>45397</v>
      </c>
      <c r="C2268" s="2" t="s">
        <v>1292</v>
      </c>
      <c r="D2268" s="1" t="s">
        <v>9</v>
      </c>
      <c r="F2268" s="3">
        <f>378616+275</f>
        <v>378891</v>
      </c>
      <c r="G2268" s="9">
        <f t="shared" si="46"/>
        <v>-6706451</v>
      </c>
    </row>
    <row r="2269" spans="1:7" x14ac:dyDescent="0.2">
      <c r="A2269" s="12">
        <v>45397</v>
      </c>
      <c r="C2269" s="2" t="s">
        <v>1461</v>
      </c>
      <c r="D2269" s="1" t="s">
        <v>9</v>
      </c>
      <c r="F2269" s="3">
        <f>4248000</f>
        <v>4248000</v>
      </c>
      <c r="G2269" s="9">
        <f t="shared" si="46"/>
        <v>-10954451</v>
      </c>
    </row>
    <row r="2270" spans="1:7" x14ac:dyDescent="0.2">
      <c r="A2270" s="12">
        <v>45397</v>
      </c>
      <c r="C2270" s="2" t="s">
        <v>1462</v>
      </c>
      <c r="D2270" s="1" t="s">
        <v>9</v>
      </c>
      <c r="F2270" s="3">
        <f>209519+275</f>
        <v>209794</v>
      </c>
      <c r="G2270" s="9">
        <f t="shared" si="46"/>
        <v>-11164245</v>
      </c>
    </row>
    <row r="2271" spans="1:7" x14ac:dyDescent="0.2">
      <c r="A2271" s="12">
        <v>45397</v>
      </c>
      <c r="C2271" s="2" t="s">
        <v>1463</v>
      </c>
      <c r="D2271" s="1" t="s">
        <v>9</v>
      </c>
      <c r="F2271" s="3">
        <f>1053766</f>
        <v>1053766</v>
      </c>
      <c r="G2271" s="9">
        <f t="shared" si="46"/>
        <v>-12218011</v>
      </c>
    </row>
    <row r="2272" spans="1:7" x14ac:dyDescent="0.2">
      <c r="A2272" s="12">
        <v>45397</v>
      </c>
      <c r="C2272" s="2" t="s">
        <v>137</v>
      </c>
      <c r="D2272" s="1" t="s">
        <v>9</v>
      </c>
      <c r="E2272" s="3">
        <v>546340</v>
      </c>
      <c r="G2272" s="9">
        <f t="shared" si="46"/>
        <v>-11671671</v>
      </c>
    </row>
    <row r="2273" spans="1:7" x14ac:dyDescent="0.2">
      <c r="A2273" s="12">
        <v>45397</v>
      </c>
      <c r="C2273" s="2" t="s">
        <v>1402</v>
      </c>
      <c r="D2273" s="1" t="s">
        <v>9</v>
      </c>
      <c r="E2273" s="3">
        <v>13098</v>
      </c>
      <c r="G2273" s="9">
        <f t="shared" si="46"/>
        <v>-11658573</v>
      </c>
    </row>
    <row r="2274" spans="1:7" x14ac:dyDescent="0.2">
      <c r="A2274" s="12">
        <v>45398</v>
      </c>
      <c r="C2274" s="34" t="s">
        <v>1333</v>
      </c>
      <c r="D2274" s="1" t="s">
        <v>9</v>
      </c>
      <c r="E2274" s="3">
        <v>929413</v>
      </c>
      <c r="G2274" s="9">
        <f t="shared" si="46"/>
        <v>-10729160</v>
      </c>
    </row>
    <row r="2275" spans="1:7" x14ac:dyDescent="0.2">
      <c r="A2275" s="12">
        <v>45398</v>
      </c>
      <c r="C2275" s="34" t="s">
        <v>1291</v>
      </c>
      <c r="D2275" s="1" t="s">
        <v>9</v>
      </c>
      <c r="E2275" s="3">
        <v>24922</v>
      </c>
      <c r="G2275" s="9">
        <f t="shared" si="46"/>
        <v>-10704238</v>
      </c>
    </row>
    <row r="2276" spans="1:7" x14ac:dyDescent="0.2">
      <c r="A2276" s="12">
        <v>45398</v>
      </c>
      <c r="C2276" s="34" t="s">
        <v>1470</v>
      </c>
      <c r="D2276" s="1" t="s">
        <v>9</v>
      </c>
      <c r="E2276" s="3">
        <v>92210</v>
      </c>
      <c r="G2276" s="9">
        <f t="shared" si="46"/>
        <v>-10612028</v>
      </c>
    </row>
    <row r="2277" spans="1:7" x14ac:dyDescent="0.2">
      <c r="A2277" s="12">
        <v>45398</v>
      </c>
      <c r="C2277" s="2" t="s">
        <v>1028</v>
      </c>
      <c r="D2277" s="1" t="s">
        <v>9</v>
      </c>
      <c r="E2277" s="3">
        <v>98696</v>
      </c>
      <c r="G2277" s="9">
        <f t="shared" si="46"/>
        <v>-10513332</v>
      </c>
    </row>
    <row r="2278" spans="1:7" x14ac:dyDescent="0.2">
      <c r="A2278" s="12">
        <v>45399</v>
      </c>
      <c r="C2278" s="34" t="s">
        <v>1469</v>
      </c>
      <c r="D2278" s="1" t="s">
        <v>9</v>
      </c>
      <c r="F2278" s="3">
        <v>5622612</v>
      </c>
      <c r="G2278" s="9">
        <f t="shared" si="46"/>
        <v>-16135944</v>
      </c>
    </row>
    <row r="2279" spans="1:7" x14ac:dyDescent="0.2">
      <c r="A2279" s="12">
        <v>45399</v>
      </c>
      <c r="C2279" s="34" t="s">
        <v>1468</v>
      </c>
      <c r="D2279" s="1" t="s">
        <v>9</v>
      </c>
      <c r="F2279" s="3">
        <v>26564</v>
      </c>
      <c r="G2279" s="9">
        <f t="shared" si="46"/>
        <v>-16162508</v>
      </c>
    </row>
    <row r="2280" spans="1:7" x14ac:dyDescent="0.2">
      <c r="A2280" s="12">
        <v>45399</v>
      </c>
      <c r="C2280" s="2" t="s">
        <v>1429</v>
      </c>
      <c r="D2280" s="1" t="s">
        <v>9</v>
      </c>
      <c r="F2280" s="3">
        <v>5000</v>
      </c>
      <c r="G2280" s="9">
        <f t="shared" si="46"/>
        <v>-16167508</v>
      </c>
    </row>
    <row r="2281" spans="1:7" x14ac:dyDescent="0.2">
      <c r="A2281" s="12">
        <v>45399</v>
      </c>
      <c r="C2281" s="2" t="s">
        <v>1429</v>
      </c>
      <c r="D2281" s="1" t="s">
        <v>9</v>
      </c>
      <c r="F2281" s="3">
        <v>5000</v>
      </c>
      <c r="G2281" s="9">
        <f t="shared" si="46"/>
        <v>-16172508</v>
      </c>
    </row>
    <row r="2282" spans="1:7" x14ac:dyDescent="0.2">
      <c r="A2282" s="12">
        <v>45399</v>
      </c>
      <c r="C2282" s="2" t="s">
        <v>1026</v>
      </c>
      <c r="D2282" s="1" t="s">
        <v>9</v>
      </c>
      <c r="E2282" s="3">
        <v>644251</v>
      </c>
      <c r="G2282" s="9">
        <f t="shared" si="46"/>
        <v>-15528257</v>
      </c>
    </row>
    <row r="2283" spans="1:7" x14ac:dyDescent="0.2">
      <c r="A2283" s="37">
        <v>45399</v>
      </c>
      <c r="B2283" s="35"/>
      <c r="C2283" s="34" t="s">
        <v>1379</v>
      </c>
      <c r="D2283" s="35" t="s">
        <v>9</v>
      </c>
      <c r="E2283" s="36">
        <v>228534</v>
      </c>
      <c r="G2283" s="9">
        <f t="shared" si="46"/>
        <v>-15299723</v>
      </c>
    </row>
    <row r="2284" spans="1:7" x14ac:dyDescent="0.2">
      <c r="A2284" s="12">
        <v>45399</v>
      </c>
      <c r="C2284" s="2" t="s">
        <v>1261</v>
      </c>
      <c r="D2284" s="1" t="s">
        <v>9</v>
      </c>
      <c r="E2284" s="3">
        <v>205816</v>
      </c>
      <c r="G2284" s="9">
        <f t="shared" si="46"/>
        <v>-15093907</v>
      </c>
    </row>
    <row r="2285" spans="1:7" x14ac:dyDescent="0.2">
      <c r="A2285" s="12">
        <v>45400</v>
      </c>
      <c r="C2285" s="2" t="s">
        <v>1375</v>
      </c>
      <c r="D2285" s="1" t="s">
        <v>9</v>
      </c>
      <c r="E2285" s="3">
        <v>867000</v>
      </c>
      <c r="G2285" s="9">
        <f t="shared" si="46"/>
        <v>-14226907</v>
      </c>
    </row>
    <row r="2286" spans="1:7" x14ac:dyDescent="0.2">
      <c r="A2286" s="12">
        <v>45401</v>
      </c>
      <c r="C2286" s="2" t="s">
        <v>1471</v>
      </c>
      <c r="D2286" s="1" t="s">
        <v>9</v>
      </c>
      <c r="F2286" s="3">
        <f>2512519+74922</f>
        <v>2587441</v>
      </c>
      <c r="G2286" s="9">
        <f t="shared" si="46"/>
        <v>-16814348</v>
      </c>
    </row>
    <row r="2287" spans="1:7" x14ac:dyDescent="0.2">
      <c r="A2287" s="12">
        <v>45401</v>
      </c>
      <c r="C2287" s="34" t="s">
        <v>1289</v>
      </c>
      <c r="D2287" s="1" t="s">
        <v>9</v>
      </c>
      <c r="E2287" s="3">
        <v>498002</v>
      </c>
      <c r="G2287" s="9">
        <f t="shared" si="46"/>
        <v>-16316346</v>
      </c>
    </row>
    <row r="2288" spans="1:7" x14ac:dyDescent="0.2">
      <c r="A2288" s="12">
        <v>45401</v>
      </c>
      <c r="C2288" s="34" t="s">
        <v>1472</v>
      </c>
      <c r="D2288" s="1" t="s">
        <v>9</v>
      </c>
      <c r="E2288" s="3">
        <v>788760</v>
      </c>
      <c r="G2288" s="9">
        <f t="shared" si="46"/>
        <v>-15527586</v>
      </c>
    </row>
    <row r="2289" spans="1:7" x14ac:dyDescent="0.2">
      <c r="A2289" s="12">
        <v>45401</v>
      </c>
      <c r="C2289" s="34" t="s">
        <v>1272</v>
      </c>
      <c r="D2289" s="1" t="s">
        <v>9</v>
      </c>
      <c r="E2289" s="3">
        <v>246414</v>
      </c>
      <c r="G2289" s="9">
        <f t="shared" si="46"/>
        <v>-15281172</v>
      </c>
    </row>
    <row r="2290" spans="1:7" x14ac:dyDescent="0.2">
      <c r="A2290" s="12">
        <v>45401</v>
      </c>
      <c r="C2290" s="34" t="s">
        <v>1313</v>
      </c>
      <c r="D2290" s="1" t="s">
        <v>9</v>
      </c>
      <c r="E2290" s="3">
        <v>689664</v>
      </c>
      <c r="G2290" s="9">
        <f t="shared" si="46"/>
        <v>-14591508</v>
      </c>
    </row>
    <row r="2291" spans="1:7" x14ac:dyDescent="0.2">
      <c r="A2291" s="12">
        <v>45404</v>
      </c>
      <c r="C2291" s="18" t="s">
        <v>1473</v>
      </c>
      <c r="D2291" s="1" t="s">
        <v>9</v>
      </c>
      <c r="F2291" s="3">
        <f>1313479</f>
        <v>1313479</v>
      </c>
      <c r="G2291" s="9">
        <f t="shared" si="46"/>
        <v>-15904987</v>
      </c>
    </row>
    <row r="2292" spans="1:7" x14ac:dyDescent="0.2">
      <c r="A2292" s="37">
        <v>45404</v>
      </c>
      <c r="B2292" s="35"/>
      <c r="C2292" s="34" t="s">
        <v>1474</v>
      </c>
      <c r="D2292" s="35" t="s">
        <v>9</v>
      </c>
      <c r="E2292" s="36">
        <v>33019</v>
      </c>
      <c r="G2292" s="9">
        <f t="shared" si="46"/>
        <v>-15871968</v>
      </c>
    </row>
    <row r="2293" spans="1:7" x14ac:dyDescent="0.2">
      <c r="A2293" s="37">
        <v>45404</v>
      </c>
      <c r="B2293" s="35"/>
      <c r="C2293" s="34" t="s">
        <v>115</v>
      </c>
      <c r="D2293" s="35" t="s">
        <v>9</v>
      </c>
      <c r="E2293" s="36">
        <v>86494</v>
      </c>
      <c r="G2293" s="9">
        <f t="shared" si="46"/>
        <v>-15785474</v>
      </c>
    </row>
    <row r="2294" spans="1:7" x14ac:dyDescent="0.2">
      <c r="A2294" s="37">
        <v>45404</v>
      </c>
      <c r="B2294" s="35"/>
      <c r="C2294" s="34" t="s">
        <v>1243</v>
      </c>
      <c r="D2294" s="35" t="s">
        <v>9</v>
      </c>
      <c r="E2294" s="36">
        <v>809864</v>
      </c>
      <c r="G2294" s="9">
        <f t="shared" si="46"/>
        <v>-14975610</v>
      </c>
    </row>
    <row r="2295" spans="1:7" x14ac:dyDescent="0.2">
      <c r="A2295" s="37">
        <v>45404</v>
      </c>
      <c r="B2295" s="35"/>
      <c r="C2295" s="34" t="s">
        <v>1475</v>
      </c>
      <c r="D2295" s="35" t="s">
        <v>9</v>
      </c>
      <c r="E2295" s="36">
        <v>270437</v>
      </c>
      <c r="G2295" s="9">
        <f t="shared" si="46"/>
        <v>-14705173</v>
      </c>
    </row>
    <row r="2296" spans="1:7" x14ac:dyDescent="0.2">
      <c r="A2296" s="37">
        <v>45404</v>
      </c>
      <c r="B2296" s="35"/>
      <c r="C2296" s="15" t="s">
        <v>1480</v>
      </c>
      <c r="D2296" s="14" t="s">
        <v>9</v>
      </c>
      <c r="E2296" s="16">
        <v>177005</v>
      </c>
      <c r="G2296" s="9">
        <f t="shared" si="46"/>
        <v>-14528168</v>
      </c>
    </row>
    <row r="2297" spans="1:7" x14ac:dyDescent="0.2">
      <c r="A2297" s="12">
        <v>45405</v>
      </c>
      <c r="C2297" s="2" t="s">
        <v>1483</v>
      </c>
      <c r="D2297" s="1" t="s">
        <v>9</v>
      </c>
      <c r="E2297" s="3">
        <v>34704</v>
      </c>
      <c r="G2297" s="9">
        <f t="shared" si="46"/>
        <v>-14493464</v>
      </c>
    </row>
    <row r="2298" spans="1:7" x14ac:dyDescent="0.2">
      <c r="A2298" s="12">
        <v>45405</v>
      </c>
      <c r="C2298" s="2" t="s">
        <v>943</v>
      </c>
      <c r="D2298" s="1" t="s">
        <v>9</v>
      </c>
      <c r="E2298" s="3">
        <v>1500000</v>
      </c>
      <c r="G2298" s="9">
        <f t="shared" si="46"/>
        <v>-12993464</v>
      </c>
    </row>
    <row r="2299" spans="1:7" x14ac:dyDescent="0.2">
      <c r="A2299" s="12">
        <v>45405</v>
      </c>
      <c r="C2299" s="2" t="s">
        <v>505</v>
      </c>
      <c r="D2299" s="1" t="s">
        <v>9</v>
      </c>
      <c r="E2299" s="3">
        <v>154530</v>
      </c>
      <c r="G2299" s="9">
        <f t="shared" si="46"/>
        <v>-12838934</v>
      </c>
    </row>
    <row r="2300" spans="1:7" x14ac:dyDescent="0.2">
      <c r="A2300" s="37">
        <v>45406</v>
      </c>
      <c r="B2300" s="35" t="s">
        <v>1481</v>
      </c>
      <c r="C2300" s="34" t="s">
        <v>1497</v>
      </c>
      <c r="D2300" s="35" t="s">
        <v>9</v>
      </c>
      <c r="E2300" s="36"/>
      <c r="F2300" s="36">
        <v>165000</v>
      </c>
      <c r="G2300" s="9">
        <f t="shared" si="46"/>
        <v>-13003934</v>
      </c>
    </row>
    <row r="2301" spans="1:7" x14ac:dyDescent="0.2">
      <c r="A2301" s="37">
        <v>45406</v>
      </c>
      <c r="B2301" s="35"/>
      <c r="C2301" s="34" t="s">
        <v>807</v>
      </c>
      <c r="D2301" s="35" t="s">
        <v>9</v>
      </c>
      <c r="E2301" s="36">
        <v>238528</v>
      </c>
      <c r="F2301" s="36"/>
      <c r="G2301" s="9">
        <f t="shared" si="46"/>
        <v>-12765406</v>
      </c>
    </row>
    <row r="2302" spans="1:7" x14ac:dyDescent="0.2">
      <c r="A2302" s="37">
        <v>45407</v>
      </c>
      <c r="B2302" s="35"/>
      <c r="C2302" s="34" t="s">
        <v>1476</v>
      </c>
      <c r="D2302" s="35" t="s">
        <v>9</v>
      </c>
      <c r="E2302" s="36">
        <v>13237220</v>
      </c>
      <c r="F2302" s="36"/>
      <c r="G2302" s="9">
        <f t="shared" si="46"/>
        <v>471814</v>
      </c>
    </row>
    <row r="2303" spans="1:7" x14ac:dyDescent="0.2">
      <c r="A2303" s="37">
        <v>45407</v>
      </c>
      <c r="B2303" s="35"/>
      <c r="C2303" s="34" t="s">
        <v>1477</v>
      </c>
      <c r="D2303" s="35" t="s">
        <v>9</v>
      </c>
      <c r="E2303" s="36">
        <v>3847</v>
      </c>
      <c r="F2303" s="36"/>
      <c r="G2303" s="9">
        <f>G2302+E2303-F2303</f>
        <v>475661</v>
      </c>
    </row>
    <row r="2304" spans="1:7" x14ac:dyDescent="0.2">
      <c r="A2304" s="37">
        <v>45407</v>
      </c>
      <c r="B2304" s="35"/>
      <c r="C2304" s="34" t="s">
        <v>1478</v>
      </c>
      <c r="D2304" s="35" t="s">
        <v>9</v>
      </c>
      <c r="E2304" s="36">
        <v>730125</v>
      </c>
      <c r="F2304" s="36"/>
      <c r="G2304" s="9">
        <f t="shared" si="46"/>
        <v>1205786</v>
      </c>
    </row>
    <row r="2305" spans="1:9" x14ac:dyDescent="0.2">
      <c r="A2305" s="37">
        <v>45407</v>
      </c>
      <c r="B2305" s="35"/>
      <c r="C2305" s="34" t="s">
        <v>1479</v>
      </c>
      <c r="D2305" s="35" t="s">
        <v>9</v>
      </c>
      <c r="E2305" s="36">
        <v>712890</v>
      </c>
      <c r="F2305" s="36"/>
      <c r="G2305" s="9">
        <f t="shared" si="46"/>
        <v>1918676</v>
      </c>
    </row>
    <row r="2306" spans="1:9" x14ac:dyDescent="0.2">
      <c r="A2306" s="37">
        <v>45407</v>
      </c>
      <c r="B2306" s="35" t="s">
        <v>1482</v>
      </c>
      <c r="C2306" s="34" t="s">
        <v>1506</v>
      </c>
      <c r="D2306" s="35" t="s">
        <v>9</v>
      </c>
      <c r="E2306" s="36"/>
      <c r="F2306" s="36">
        <v>350000</v>
      </c>
      <c r="G2306" s="9">
        <f t="shared" si="46"/>
        <v>1568676</v>
      </c>
    </row>
    <row r="2307" spans="1:9" x14ac:dyDescent="0.2">
      <c r="A2307" s="12">
        <v>45407</v>
      </c>
      <c r="C2307" s="34" t="s">
        <v>27</v>
      </c>
      <c r="D2307" s="35" t="s">
        <v>9</v>
      </c>
      <c r="E2307" s="36"/>
      <c r="F2307" s="36">
        <v>150000</v>
      </c>
      <c r="G2307" s="9">
        <f t="shared" si="46"/>
        <v>1418676</v>
      </c>
    </row>
    <row r="2308" spans="1:9" x14ac:dyDescent="0.2">
      <c r="A2308" s="37">
        <v>45408</v>
      </c>
      <c r="B2308" s="35"/>
      <c r="C2308" s="34" t="s">
        <v>282</v>
      </c>
      <c r="D2308" s="35" t="s">
        <v>9</v>
      </c>
      <c r="E2308" s="36">
        <v>39317</v>
      </c>
      <c r="G2308" s="9">
        <f t="shared" si="46"/>
        <v>1457993</v>
      </c>
    </row>
    <row r="2309" spans="1:9" x14ac:dyDescent="0.2">
      <c r="A2309" s="37">
        <v>45408</v>
      </c>
      <c r="B2309" s="35"/>
      <c r="C2309" s="34" t="s">
        <v>115</v>
      </c>
      <c r="D2309" s="35" t="s">
        <v>9</v>
      </c>
      <c r="E2309" s="36">
        <v>1762920</v>
      </c>
      <c r="G2309" s="9">
        <f t="shared" si="46"/>
        <v>3220913</v>
      </c>
    </row>
    <row r="2310" spans="1:9" x14ac:dyDescent="0.2">
      <c r="A2310" s="12">
        <v>45408</v>
      </c>
      <c r="C2310" s="2" t="s">
        <v>496</v>
      </c>
      <c r="D2310" s="1" t="s">
        <v>9</v>
      </c>
      <c r="E2310" s="3">
        <v>6442038</v>
      </c>
      <c r="G2310" s="9">
        <f t="shared" si="46"/>
        <v>9662951</v>
      </c>
    </row>
    <row r="2311" spans="1:9" x14ac:dyDescent="0.2">
      <c r="A2311" s="12">
        <v>45411</v>
      </c>
      <c r="B2311" s="1" t="s">
        <v>1484</v>
      </c>
      <c r="C2311" s="2" t="s">
        <v>1485</v>
      </c>
      <c r="D2311" s="1" t="s">
        <v>9</v>
      </c>
      <c r="E2311" s="36"/>
      <c r="F2311" s="36">
        <v>260000</v>
      </c>
      <c r="G2311" s="9">
        <f t="shared" si="46"/>
        <v>9402951</v>
      </c>
    </row>
    <row r="2312" spans="1:9" x14ac:dyDescent="0.2">
      <c r="A2312" s="12">
        <v>45411</v>
      </c>
      <c r="B2312" s="1" t="s">
        <v>1486</v>
      </c>
      <c r="C2312" s="2" t="s">
        <v>154</v>
      </c>
      <c r="D2312" s="1" t="s">
        <v>9</v>
      </c>
      <c r="E2312" s="36"/>
      <c r="F2312" s="36">
        <v>399025</v>
      </c>
      <c r="G2312" s="9">
        <f t="shared" si="46"/>
        <v>9003926</v>
      </c>
    </row>
    <row r="2313" spans="1:9" x14ac:dyDescent="0.2">
      <c r="A2313" s="12">
        <v>45411</v>
      </c>
      <c r="B2313" s="1" t="s">
        <v>1487</v>
      </c>
      <c r="C2313" s="2" t="s">
        <v>1488</v>
      </c>
      <c r="D2313" s="1" t="s">
        <v>9</v>
      </c>
      <c r="E2313" s="36"/>
      <c r="F2313" s="36">
        <v>337500</v>
      </c>
      <c r="G2313" s="9">
        <f t="shared" si="46"/>
        <v>8666426</v>
      </c>
    </row>
    <row r="2314" spans="1:9" x14ac:dyDescent="0.2">
      <c r="A2314" s="12">
        <v>45411</v>
      </c>
      <c r="C2314" s="2" t="s">
        <v>35</v>
      </c>
      <c r="D2314" s="1" t="s">
        <v>9</v>
      </c>
      <c r="E2314" s="36"/>
      <c r="F2314" s="36">
        <v>6600</v>
      </c>
      <c r="G2314" s="9">
        <f t="shared" ref="G2314:G2387" si="47">G2313+E2314-F2314</f>
        <v>8659826</v>
      </c>
    </row>
    <row r="2315" spans="1:9" x14ac:dyDescent="0.2">
      <c r="A2315" s="12">
        <v>45411</v>
      </c>
      <c r="C2315" s="2" t="s">
        <v>1489</v>
      </c>
      <c r="D2315" s="1" t="s">
        <v>9</v>
      </c>
      <c r="E2315" s="36">
        <v>227541</v>
      </c>
      <c r="F2315" s="36"/>
      <c r="G2315" s="9">
        <f t="shared" si="47"/>
        <v>8887367</v>
      </c>
      <c r="I2315" s="24">
        <v>9537514</v>
      </c>
    </row>
    <row r="2316" spans="1:9" x14ac:dyDescent="0.2">
      <c r="A2316" s="12">
        <v>45412</v>
      </c>
      <c r="C2316" s="2" t="s">
        <v>1490</v>
      </c>
      <c r="D2316" s="1" t="s">
        <v>9</v>
      </c>
      <c r="E2316" s="36"/>
      <c r="F2316" s="36">
        <v>165331</v>
      </c>
      <c r="G2316" s="9">
        <f t="shared" si="47"/>
        <v>8722036</v>
      </c>
      <c r="I2316" s="9">
        <f>I2315-F2313-F2312-F2311+E1686</f>
        <v>8722036</v>
      </c>
    </row>
    <row r="2317" spans="1:9" ht="15.75" x14ac:dyDescent="0.25">
      <c r="A2317" s="10" t="s">
        <v>1496</v>
      </c>
      <c r="E2317" s="36"/>
      <c r="F2317" s="36"/>
      <c r="G2317" s="9"/>
    </row>
    <row r="2318" spans="1:9" x14ac:dyDescent="0.2">
      <c r="A2318" s="11" t="s">
        <v>2</v>
      </c>
      <c r="B2318" s="5" t="s">
        <v>1</v>
      </c>
      <c r="C2318" s="5" t="s">
        <v>3</v>
      </c>
      <c r="D2318" s="5"/>
      <c r="E2318" s="50" t="s">
        <v>4</v>
      </c>
      <c r="F2318" s="50" t="s">
        <v>6</v>
      </c>
      <c r="G2318" s="8" t="s">
        <v>5</v>
      </c>
    </row>
    <row r="2319" spans="1:9" x14ac:dyDescent="0.2">
      <c r="A2319" s="12">
        <v>45414</v>
      </c>
      <c r="C2319" s="18" t="s">
        <v>1491</v>
      </c>
      <c r="D2319" s="1" t="s">
        <v>9</v>
      </c>
      <c r="E2319" s="36"/>
      <c r="F2319" s="36">
        <v>1000000</v>
      </c>
      <c r="G2319" s="9">
        <f>G2316+E2319-F2319</f>
        <v>7722036</v>
      </c>
    </row>
    <row r="2320" spans="1:9" x14ac:dyDescent="0.2">
      <c r="A2320" s="12">
        <v>45414</v>
      </c>
      <c r="C2320" s="2" t="s">
        <v>34</v>
      </c>
      <c r="D2320" s="1" t="s">
        <v>9</v>
      </c>
      <c r="E2320" s="36"/>
      <c r="F2320" s="36">
        <v>138</v>
      </c>
      <c r="G2320" s="9">
        <f t="shared" si="47"/>
        <v>7721898</v>
      </c>
    </row>
    <row r="2321" spans="1:7" x14ac:dyDescent="0.2">
      <c r="A2321" s="12">
        <v>45414</v>
      </c>
      <c r="C2321" s="18" t="s">
        <v>1491</v>
      </c>
      <c r="D2321" s="1" t="s">
        <v>9</v>
      </c>
      <c r="E2321" s="36"/>
      <c r="F2321" s="36">
        <v>3093101</v>
      </c>
      <c r="G2321" s="9">
        <f t="shared" si="47"/>
        <v>4628797</v>
      </c>
    </row>
    <row r="2322" spans="1:7" x14ac:dyDescent="0.2">
      <c r="A2322" s="12">
        <v>45414</v>
      </c>
      <c r="C2322" s="2" t="s">
        <v>34</v>
      </c>
      <c r="D2322" s="1" t="s">
        <v>9</v>
      </c>
      <c r="E2322" s="36"/>
      <c r="F2322" s="36">
        <v>275</v>
      </c>
      <c r="G2322" s="9">
        <f t="shared" si="47"/>
        <v>4628522</v>
      </c>
    </row>
    <row r="2323" spans="1:7" x14ac:dyDescent="0.2">
      <c r="A2323" s="12">
        <v>45414</v>
      </c>
      <c r="C2323" s="18" t="s">
        <v>1492</v>
      </c>
      <c r="D2323" s="1" t="s">
        <v>9</v>
      </c>
      <c r="E2323" s="36"/>
      <c r="F2323" s="36">
        <f>1525552</f>
        <v>1525552</v>
      </c>
      <c r="G2323" s="9">
        <f t="shared" si="47"/>
        <v>3102970</v>
      </c>
    </row>
    <row r="2324" spans="1:7" x14ac:dyDescent="0.2">
      <c r="A2324" s="12">
        <v>45414</v>
      </c>
      <c r="C2324" s="34" t="s">
        <v>1360</v>
      </c>
      <c r="D2324" s="1" t="s">
        <v>9</v>
      </c>
      <c r="E2324" s="36">
        <v>18851</v>
      </c>
      <c r="F2324" s="36"/>
      <c r="G2324" s="9">
        <f t="shared" si="47"/>
        <v>3121821</v>
      </c>
    </row>
    <row r="2325" spans="1:7" x14ac:dyDescent="0.2">
      <c r="A2325" s="12">
        <v>45414</v>
      </c>
      <c r="C2325" s="34" t="s">
        <v>1358</v>
      </c>
      <c r="D2325" s="1" t="s">
        <v>9</v>
      </c>
      <c r="E2325" s="36">
        <v>48646</v>
      </c>
      <c r="F2325" s="36"/>
      <c r="G2325" s="9">
        <f t="shared" si="47"/>
        <v>3170467</v>
      </c>
    </row>
    <row r="2326" spans="1:7" x14ac:dyDescent="0.2">
      <c r="A2326" s="12">
        <v>45414</v>
      </c>
      <c r="C2326" s="34" t="s">
        <v>1493</v>
      </c>
      <c r="D2326" s="1" t="s">
        <v>9</v>
      </c>
      <c r="E2326" s="36">
        <v>251930</v>
      </c>
      <c r="F2326" s="36"/>
      <c r="G2326" s="9">
        <f t="shared" si="47"/>
        <v>3422397</v>
      </c>
    </row>
    <row r="2327" spans="1:7" x14ac:dyDescent="0.2">
      <c r="A2327" s="12">
        <v>45414</v>
      </c>
      <c r="C2327" s="34" t="s">
        <v>1494</v>
      </c>
      <c r="D2327" s="1" t="s">
        <v>9</v>
      </c>
      <c r="E2327" s="36">
        <v>138291</v>
      </c>
      <c r="F2327" s="36"/>
      <c r="G2327" s="9">
        <f t="shared" si="47"/>
        <v>3560688</v>
      </c>
    </row>
    <row r="2328" spans="1:7" x14ac:dyDescent="0.2">
      <c r="A2328" s="12">
        <v>45414</v>
      </c>
      <c r="C2328" s="2" t="s">
        <v>116</v>
      </c>
      <c r="D2328" s="1" t="s">
        <v>9</v>
      </c>
      <c r="E2328" s="36">
        <v>285890</v>
      </c>
      <c r="F2328" s="36"/>
      <c r="G2328" s="9">
        <f t="shared" si="47"/>
        <v>3846578</v>
      </c>
    </row>
    <row r="2329" spans="1:7" x14ac:dyDescent="0.2">
      <c r="A2329" s="12">
        <v>45415</v>
      </c>
      <c r="C2329" s="2" t="s">
        <v>545</v>
      </c>
      <c r="D2329" s="1" t="s">
        <v>9</v>
      </c>
      <c r="E2329" s="36">
        <v>149592</v>
      </c>
      <c r="F2329" s="36"/>
      <c r="G2329" s="9">
        <f t="shared" si="47"/>
        <v>3996170</v>
      </c>
    </row>
    <row r="2330" spans="1:7" x14ac:dyDescent="0.2">
      <c r="A2330" s="12">
        <v>45415</v>
      </c>
      <c r="C2330" s="34" t="s">
        <v>1498</v>
      </c>
      <c r="D2330" s="1" t="s">
        <v>9</v>
      </c>
      <c r="E2330" s="36">
        <v>1172014</v>
      </c>
      <c r="F2330" s="36"/>
      <c r="G2330" s="9">
        <f t="shared" si="47"/>
        <v>5168184</v>
      </c>
    </row>
    <row r="2331" spans="1:7" x14ac:dyDescent="0.2">
      <c r="A2331" s="12">
        <v>45415</v>
      </c>
      <c r="C2331" s="34" t="s">
        <v>1388</v>
      </c>
      <c r="D2331" s="1" t="s">
        <v>9</v>
      </c>
      <c r="E2331" s="36">
        <v>2647114</v>
      </c>
      <c r="F2331" s="36"/>
      <c r="G2331" s="9">
        <f t="shared" si="47"/>
        <v>7815298</v>
      </c>
    </row>
    <row r="2332" spans="1:7" x14ac:dyDescent="0.2">
      <c r="A2332" s="12">
        <v>45415</v>
      </c>
      <c r="C2332" s="34" t="s">
        <v>1499</v>
      </c>
      <c r="D2332" s="1" t="s">
        <v>9</v>
      </c>
      <c r="E2332" s="36">
        <v>222220</v>
      </c>
      <c r="F2332" s="36"/>
      <c r="G2332" s="9">
        <f t="shared" si="47"/>
        <v>8037518</v>
      </c>
    </row>
    <row r="2333" spans="1:7" x14ac:dyDescent="0.2">
      <c r="A2333" s="12">
        <v>45415</v>
      </c>
      <c r="C2333" s="34" t="s">
        <v>1363</v>
      </c>
      <c r="D2333" s="1" t="s">
        <v>9</v>
      </c>
      <c r="E2333" s="36">
        <v>754165</v>
      </c>
      <c r="F2333" s="36"/>
      <c r="G2333" s="9">
        <f t="shared" si="47"/>
        <v>8791683</v>
      </c>
    </row>
    <row r="2334" spans="1:7" x14ac:dyDescent="0.2">
      <c r="A2334" s="12">
        <v>45415</v>
      </c>
      <c r="C2334" s="34" t="s">
        <v>282</v>
      </c>
      <c r="D2334" s="1" t="s">
        <v>9</v>
      </c>
      <c r="E2334" s="36">
        <v>65278</v>
      </c>
      <c r="F2334" s="36"/>
      <c r="G2334" s="9">
        <f t="shared" si="47"/>
        <v>8856961</v>
      </c>
    </row>
    <row r="2335" spans="1:7" x14ac:dyDescent="0.2">
      <c r="A2335" s="12">
        <v>45415</v>
      </c>
      <c r="B2335" s="1" t="s">
        <v>1500</v>
      </c>
      <c r="C2335" s="2" t="s">
        <v>1503</v>
      </c>
      <c r="D2335" s="1" t="s">
        <v>9</v>
      </c>
      <c r="E2335" s="36"/>
      <c r="F2335" s="36">
        <v>350000</v>
      </c>
      <c r="G2335" s="9">
        <f t="shared" si="47"/>
        <v>8506961</v>
      </c>
    </row>
    <row r="2336" spans="1:7" x14ac:dyDescent="0.2">
      <c r="A2336" s="12">
        <v>45415</v>
      </c>
      <c r="B2336" s="1" t="s">
        <v>1501</v>
      </c>
      <c r="C2336" s="2" t="s">
        <v>1504</v>
      </c>
      <c r="D2336" s="1" t="s">
        <v>9</v>
      </c>
      <c r="E2336" s="36"/>
      <c r="F2336" s="36">
        <v>525000</v>
      </c>
      <c r="G2336" s="9">
        <f t="shared" si="47"/>
        <v>7981961</v>
      </c>
    </row>
    <row r="2337" spans="1:7" x14ac:dyDescent="0.2">
      <c r="A2337" s="12">
        <v>45415</v>
      </c>
      <c r="B2337" s="35" t="s">
        <v>1502</v>
      </c>
      <c r="C2337" s="34" t="s">
        <v>1531</v>
      </c>
      <c r="D2337" s="1" t="s">
        <v>9</v>
      </c>
      <c r="E2337" s="36"/>
      <c r="F2337" s="36"/>
      <c r="G2337" s="9">
        <f t="shared" si="47"/>
        <v>7981961</v>
      </c>
    </row>
    <row r="2338" spans="1:7" x14ac:dyDescent="0.2">
      <c r="A2338" s="12">
        <v>45415</v>
      </c>
      <c r="C2338" s="2" t="s">
        <v>1362</v>
      </c>
      <c r="D2338" s="1" t="s">
        <v>9</v>
      </c>
      <c r="E2338" s="36"/>
      <c r="F2338" s="36">
        <v>487589</v>
      </c>
      <c r="G2338" s="9">
        <f t="shared" si="47"/>
        <v>7494372</v>
      </c>
    </row>
    <row r="2339" spans="1:7" x14ac:dyDescent="0.2">
      <c r="A2339" s="12">
        <v>45415</v>
      </c>
      <c r="C2339" s="2" t="s">
        <v>61</v>
      </c>
      <c r="D2339" s="1" t="s">
        <v>9</v>
      </c>
      <c r="E2339" s="36">
        <v>286667</v>
      </c>
      <c r="F2339" s="36"/>
      <c r="G2339" s="9">
        <f t="shared" si="47"/>
        <v>7781039</v>
      </c>
    </row>
    <row r="2340" spans="1:7" x14ac:dyDescent="0.2">
      <c r="A2340" s="12">
        <v>45419</v>
      </c>
      <c r="C2340" s="18" t="s">
        <v>1513</v>
      </c>
      <c r="D2340" s="1" t="s">
        <v>9</v>
      </c>
      <c r="E2340" s="36"/>
      <c r="F2340" s="36">
        <f>4649205</f>
        <v>4649205</v>
      </c>
      <c r="G2340" s="9">
        <f t="shared" si="47"/>
        <v>3131834</v>
      </c>
    </row>
    <row r="2341" spans="1:7" x14ac:dyDescent="0.2">
      <c r="A2341" s="12">
        <v>45419</v>
      </c>
      <c r="C2341" s="18" t="s">
        <v>1514</v>
      </c>
      <c r="D2341" s="1" t="s">
        <v>9</v>
      </c>
      <c r="E2341" s="36">
        <v>438770</v>
      </c>
      <c r="F2341" s="36"/>
      <c r="G2341" s="9">
        <f t="shared" si="47"/>
        <v>3570604</v>
      </c>
    </row>
    <row r="2342" spans="1:7" x14ac:dyDescent="0.2">
      <c r="A2342" s="12">
        <v>45420</v>
      </c>
      <c r="C2342" s="34" t="s">
        <v>1358</v>
      </c>
      <c r="D2342" s="1" t="s">
        <v>9</v>
      </c>
      <c r="E2342" s="36">
        <v>93161</v>
      </c>
      <c r="F2342" s="36"/>
      <c r="G2342" s="9">
        <f t="shared" si="47"/>
        <v>3663765</v>
      </c>
    </row>
    <row r="2343" spans="1:7" x14ac:dyDescent="0.2">
      <c r="A2343" s="12">
        <v>45420</v>
      </c>
      <c r="C2343" s="34" t="s">
        <v>1515</v>
      </c>
      <c r="D2343" s="1" t="s">
        <v>9</v>
      </c>
      <c r="E2343" s="36">
        <v>9440</v>
      </c>
      <c r="F2343" s="36"/>
      <c r="G2343" s="9">
        <f t="shared" si="47"/>
        <v>3673205</v>
      </c>
    </row>
    <row r="2344" spans="1:7" x14ac:dyDescent="0.2">
      <c r="A2344" s="12">
        <v>45420</v>
      </c>
      <c r="C2344" s="34" t="s">
        <v>1361</v>
      </c>
      <c r="D2344" s="1" t="s">
        <v>9</v>
      </c>
      <c r="E2344" s="36">
        <v>48445</v>
      </c>
      <c r="F2344" s="36"/>
      <c r="G2344" s="9">
        <f t="shared" si="47"/>
        <v>3721650</v>
      </c>
    </row>
    <row r="2345" spans="1:7" x14ac:dyDescent="0.2">
      <c r="A2345" s="12">
        <v>45420</v>
      </c>
      <c r="C2345" s="34" t="s">
        <v>527</v>
      </c>
      <c r="D2345" s="1" t="s">
        <v>9</v>
      </c>
      <c r="E2345" s="36">
        <v>386896</v>
      </c>
      <c r="F2345" s="36"/>
      <c r="G2345" s="9">
        <f t="shared" si="47"/>
        <v>4108546</v>
      </c>
    </row>
    <row r="2346" spans="1:7" x14ac:dyDescent="0.2">
      <c r="A2346" s="12">
        <v>45420</v>
      </c>
      <c r="C2346" s="34" t="s">
        <v>1516</v>
      </c>
      <c r="D2346" s="1" t="s">
        <v>9</v>
      </c>
      <c r="E2346" s="36">
        <v>253807</v>
      </c>
      <c r="F2346" s="36"/>
      <c r="G2346" s="9">
        <f t="shared" si="47"/>
        <v>4362353</v>
      </c>
    </row>
    <row r="2347" spans="1:7" x14ac:dyDescent="0.2">
      <c r="A2347" s="12">
        <v>45420</v>
      </c>
      <c r="C2347" s="34" t="s">
        <v>1517</v>
      </c>
      <c r="D2347" s="1" t="s">
        <v>9</v>
      </c>
      <c r="E2347" s="36">
        <v>366047</v>
      </c>
      <c r="F2347" s="36"/>
      <c r="G2347" s="9">
        <f t="shared" si="47"/>
        <v>4728400</v>
      </c>
    </row>
    <row r="2348" spans="1:7" x14ac:dyDescent="0.2">
      <c r="A2348" s="12">
        <v>45420</v>
      </c>
      <c r="C2348" s="2" t="s">
        <v>1532</v>
      </c>
      <c r="D2348" s="1" t="s">
        <v>9</v>
      </c>
      <c r="E2348" s="36"/>
      <c r="F2348" s="36">
        <v>15000</v>
      </c>
      <c r="G2348" s="9">
        <f t="shared" si="47"/>
        <v>4713400</v>
      </c>
    </row>
    <row r="2349" spans="1:7" x14ac:dyDescent="0.2">
      <c r="A2349" s="12">
        <v>45421</v>
      </c>
      <c r="C2349" s="34" t="s">
        <v>341</v>
      </c>
      <c r="D2349" s="1" t="s">
        <v>9</v>
      </c>
      <c r="E2349" s="36">
        <v>1292845</v>
      </c>
      <c r="F2349" s="36"/>
      <c r="G2349" s="9">
        <f t="shared" si="47"/>
        <v>6006245</v>
      </c>
    </row>
    <row r="2350" spans="1:7" x14ac:dyDescent="0.2">
      <c r="A2350" s="12">
        <v>45421</v>
      </c>
      <c r="C2350" s="34" t="s">
        <v>152</v>
      </c>
      <c r="D2350" s="1" t="s">
        <v>9</v>
      </c>
      <c r="E2350" s="36">
        <v>37713</v>
      </c>
      <c r="F2350" s="36"/>
      <c r="G2350" s="9">
        <f t="shared" si="47"/>
        <v>6043958</v>
      </c>
    </row>
    <row r="2351" spans="1:7" x14ac:dyDescent="0.2">
      <c r="A2351" s="12">
        <v>45422</v>
      </c>
      <c r="C2351" s="2" t="s">
        <v>1507</v>
      </c>
      <c r="D2351" s="1" t="s">
        <v>9</v>
      </c>
      <c r="E2351" s="36"/>
      <c r="F2351" s="36">
        <f>650000</f>
        <v>650000</v>
      </c>
      <c r="G2351" s="9">
        <f t="shared" si="47"/>
        <v>5393958</v>
      </c>
    </row>
    <row r="2352" spans="1:7" x14ac:dyDescent="0.2">
      <c r="A2352" s="12">
        <v>45422</v>
      </c>
      <c r="C2352" s="2" t="s">
        <v>1508</v>
      </c>
      <c r="D2352" s="1" t="s">
        <v>9</v>
      </c>
      <c r="E2352" s="36"/>
      <c r="F2352" s="36">
        <f>677025+275</f>
        <v>677300</v>
      </c>
      <c r="G2352" s="9">
        <f t="shared" si="47"/>
        <v>4716658</v>
      </c>
    </row>
    <row r="2353" spans="1:10" x14ac:dyDescent="0.2">
      <c r="A2353" s="12">
        <v>45422</v>
      </c>
      <c r="C2353" s="2" t="s">
        <v>1509</v>
      </c>
      <c r="D2353" s="1" t="s">
        <v>9</v>
      </c>
      <c r="E2353" s="36"/>
      <c r="F2353" s="36">
        <f>4970160</f>
        <v>4970160</v>
      </c>
      <c r="G2353" s="9">
        <f t="shared" si="47"/>
        <v>-253502</v>
      </c>
    </row>
    <row r="2354" spans="1:10" x14ac:dyDescent="0.2">
      <c r="A2354" s="12">
        <v>45422</v>
      </c>
      <c r="C2354" s="2" t="s">
        <v>1510</v>
      </c>
      <c r="D2354" s="1" t="s">
        <v>9</v>
      </c>
      <c r="E2354" s="36"/>
      <c r="F2354" s="36">
        <f>328512+275</f>
        <v>328787</v>
      </c>
      <c r="G2354" s="9">
        <f t="shared" si="47"/>
        <v>-582289</v>
      </c>
    </row>
    <row r="2355" spans="1:10" x14ac:dyDescent="0.2">
      <c r="A2355" s="12">
        <v>45422</v>
      </c>
      <c r="C2355" s="2" t="s">
        <v>1511</v>
      </c>
      <c r="D2355" s="1" t="s">
        <v>9</v>
      </c>
      <c r="E2355" s="36"/>
      <c r="F2355" s="36">
        <f>387628+275</f>
        <v>387903</v>
      </c>
      <c r="G2355" s="9">
        <f t="shared" si="47"/>
        <v>-970192</v>
      </c>
    </row>
    <row r="2356" spans="1:10" x14ac:dyDescent="0.2">
      <c r="A2356" s="12">
        <v>45422</v>
      </c>
      <c r="C2356" s="2" t="s">
        <v>1512</v>
      </c>
      <c r="D2356" s="1" t="s">
        <v>9</v>
      </c>
      <c r="E2356" s="36"/>
      <c r="F2356" s="36">
        <f>105609</f>
        <v>105609</v>
      </c>
      <c r="G2356" s="9">
        <f t="shared" si="47"/>
        <v>-1075801</v>
      </c>
    </row>
    <row r="2357" spans="1:10" x14ac:dyDescent="0.2">
      <c r="A2357" s="12">
        <v>45422</v>
      </c>
      <c r="C2357" s="34" t="s">
        <v>1028</v>
      </c>
      <c r="D2357" s="1" t="s">
        <v>9</v>
      </c>
      <c r="E2357" s="36">
        <v>282376</v>
      </c>
      <c r="F2357" s="36"/>
      <c r="G2357" s="9">
        <f t="shared" si="47"/>
        <v>-793425</v>
      </c>
    </row>
    <row r="2358" spans="1:10" x14ac:dyDescent="0.2">
      <c r="A2358" s="12">
        <v>45425</v>
      </c>
      <c r="B2358" s="35" t="s">
        <v>1518</v>
      </c>
      <c r="C2358" s="2" t="s">
        <v>1521</v>
      </c>
      <c r="D2358" s="1" t="s">
        <v>9</v>
      </c>
      <c r="E2358" s="36"/>
      <c r="F2358" s="36">
        <v>240000</v>
      </c>
      <c r="G2358" s="9">
        <f t="shared" si="47"/>
        <v>-1033425</v>
      </c>
    </row>
    <row r="2359" spans="1:10" x14ac:dyDescent="0.2">
      <c r="A2359" s="12">
        <v>45425</v>
      </c>
      <c r="B2359" s="1" t="s">
        <v>1519</v>
      </c>
      <c r="C2359" s="2" t="s">
        <v>1521</v>
      </c>
      <c r="D2359" s="1" t="s">
        <v>9</v>
      </c>
      <c r="E2359" s="36"/>
      <c r="F2359" s="36">
        <v>90000</v>
      </c>
      <c r="G2359" s="9">
        <f t="shared" si="47"/>
        <v>-1123425</v>
      </c>
    </row>
    <row r="2360" spans="1:10" x14ac:dyDescent="0.2">
      <c r="A2360" s="12">
        <v>45425</v>
      </c>
      <c r="B2360" s="1" t="s">
        <v>1520</v>
      </c>
      <c r="C2360" s="34" t="s">
        <v>1505</v>
      </c>
      <c r="D2360" s="1" t="s">
        <v>9</v>
      </c>
      <c r="E2360" s="36"/>
      <c r="F2360" s="36">
        <v>935000</v>
      </c>
      <c r="G2360" s="9">
        <f t="shared" si="47"/>
        <v>-2058425</v>
      </c>
    </row>
    <row r="2361" spans="1:10" x14ac:dyDescent="0.2">
      <c r="A2361" s="12">
        <v>45425</v>
      </c>
      <c r="C2361" s="2" t="s">
        <v>1530</v>
      </c>
      <c r="D2361" s="1" t="s">
        <v>9</v>
      </c>
      <c r="E2361" s="36">
        <v>223294</v>
      </c>
      <c r="F2361" s="36"/>
      <c r="G2361" s="9">
        <f t="shared" si="47"/>
        <v>-1835131</v>
      </c>
    </row>
    <row r="2362" spans="1:10" x14ac:dyDescent="0.2">
      <c r="A2362" s="12">
        <v>45425</v>
      </c>
      <c r="C2362" s="2" t="s">
        <v>35</v>
      </c>
      <c r="D2362" s="1" t="s">
        <v>9</v>
      </c>
      <c r="E2362" s="36"/>
      <c r="F2362" s="36">
        <v>6600</v>
      </c>
      <c r="G2362" s="9">
        <f t="shared" si="47"/>
        <v>-1841731</v>
      </c>
    </row>
    <row r="2363" spans="1:10" x14ac:dyDescent="0.2">
      <c r="A2363" s="12">
        <v>45425</v>
      </c>
      <c r="C2363" s="2" t="s">
        <v>1110</v>
      </c>
      <c r="D2363" s="1" t="s">
        <v>9</v>
      </c>
      <c r="E2363" s="36">
        <v>544706</v>
      </c>
      <c r="F2363" s="36"/>
      <c r="G2363" s="9">
        <f t="shared" si="47"/>
        <v>-1297025</v>
      </c>
    </row>
    <row r="2364" spans="1:10" x14ac:dyDescent="0.2">
      <c r="A2364" s="12">
        <v>45425</v>
      </c>
      <c r="C2364" s="2" t="s">
        <v>783</v>
      </c>
      <c r="D2364" s="1" t="s">
        <v>9</v>
      </c>
      <c r="E2364" s="36">
        <v>1897747</v>
      </c>
      <c r="F2364" s="36"/>
      <c r="G2364" s="9">
        <f t="shared" si="47"/>
        <v>600722</v>
      </c>
    </row>
    <row r="2365" spans="1:10" x14ac:dyDescent="0.2">
      <c r="A2365" s="12">
        <v>45426</v>
      </c>
      <c r="C2365" s="2" t="s">
        <v>807</v>
      </c>
      <c r="D2365" s="1" t="s">
        <v>9</v>
      </c>
      <c r="E2365" s="36">
        <v>11385</v>
      </c>
      <c r="F2365" s="36"/>
      <c r="G2365" s="9">
        <f t="shared" si="47"/>
        <v>612107</v>
      </c>
    </row>
    <row r="2366" spans="1:10" x14ac:dyDescent="0.2">
      <c r="A2366" s="12">
        <v>45431</v>
      </c>
      <c r="C2366" s="2" t="s">
        <v>545</v>
      </c>
      <c r="D2366" s="1" t="s">
        <v>9</v>
      </c>
      <c r="E2366" s="36">
        <v>9600</v>
      </c>
      <c r="F2366" s="36"/>
      <c r="G2366" s="9">
        <f t="shared" si="47"/>
        <v>621707</v>
      </c>
    </row>
    <row r="2367" spans="1:10" x14ac:dyDescent="0.2">
      <c r="A2367" s="12">
        <v>45427</v>
      </c>
      <c r="C2367" s="34" t="s">
        <v>1523</v>
      </c>
      <c r="D2367" s="1" t="s">
        <v>9</v>
      </c>
      <c r="E2367" s="36"/>
      <c r="F2367" s="36">
        <v>30420</v>
      </c>
      <c r="G2367" s="9">
        <f t="shared" si="47"/>
        <v>591287</v>
      </c>
    </row>
    <row r="2368" spans="1:10" x14ac:dyDescent="0.2">
      <c r="A2368" s="12">
        <v>45427</v>
      </c>
      <c r="C2368" s="34" t="s">
        <v>1524</v>
      </c>
      <c r="D2368" s="1" t="s">
        <v>9</v>
      </c>
      <c r="E2368" s="36"/>
      <c r="F2368" s="36">
        <v>4280022</v>
      </c>
      <c r="G2368" s="9">
        <f t="shared" si="47"/>
        <v>-3688735</v>
      </c>
      <c r="J2368" t="s">
        <v>1570</v>
      </c>
    </row>
    <row r="2369" spans="1:7" x14ac:dyDescent="0.2">
      <c r="A2369" s="12">
        <v>45427</v>
      </c>
      <c r="C2369" s="34" t="s">
        <v>1525</v>
      </c>
      <c r="D2369" s="1" t="s">
        <v>9</v>
      </c>
      <c r="E2369" s="36">
        <v>330990</v>
      </c>
      <c r="F2369" s="36"/>
      <c r="G2369" s="9">
        <f t="shared" si="47"/>
        <v>-3357745</v>
      </c>
    </row>
    <row r="2370" spans="1:7" x14ac:dyDescent="0.2">
      <c r="A2370" s="12">
        <v>45427</v>
      </c>
      <c r="C2370" s="34" t="s">
        <v>1526</v>
      </c>
      <c r="D2370" s="1" t="s">
        <v>9</v>
      </c>
      <c r="E2370" s="36">
        <v>182133</v>
      </c>
      <c r="F2370" s="36"/>
      <c r="G2370" s="9">
        <f t="shared" si="47"/>
        <v>-3175612</v>
      </c>
    </row>
    <row r="2371" spans="1:7" x14ac:dyDescent="0.2">
      <c r="A2371" s="12">
        <v>45427</v>
      </c>
      <c r="C2371" s="34" t="s">
        <v>1527</v>
      </c>
      <c r="D2371" s="1" t="s">
        <v>9</v>
      </c>
      <c r="E2371" s="36">
        <v>1611880</v>
      </c>
      <c r="F2371" s="36"/>
      <c r="G2371" s="9">
        <f t="shared" si="47"/>
        <v>-1563732</v>
      </c>
    </row>
    <row r="2372" spans="1:7" x14ac:dyDescent="0.2">
      <c r="A2372" s="12">
        <v>45427</v>
      </c>
      <c r="C2372" s="34" t="s">
        <v>1480</v>
      </c>
      <c r="D2372" s="1" t="s">
        <v>9</v>
      </c>
      <c r="E2372" s="36">
        <v>176717</v>
      </c>
      <c r="F2372" s="36"/>
      <c r="G2372" s="9">
        <f t="shared" si="47"/>
        <v>-1387015</v>
      </c>
    </row>
    <row r="2373" spans="1:7" x14ac:dyDescent="0.2">
      <c r="A2373" s="12">
        <v>45427</v>
      </c>
      <c r="C2373" s="34" t="s">
        <v>1354</v>
      </c>
      <c r="D2373" s="1" t="s">
        <v>9</v>
      </c>
      <c r="E2373" s="36">
        <v>51259</v>
      </c>
      <c r="F2373" s="36"/>
      <c r="G2373" s="9">
        <f t="shared" si="47"/>
        <v>-1335756</v>
      </c>
    </row>
    <row r="2374" spans="1:7" x14ac:dyDescent="0.2">
      <c r="A2374" s="12">
        <v>45427</v>
      </c>
      <c r="C2374" s="34" t="s">
        <v>1528</v>
      </c>
      <c r="D2374" s="1" t="s">
        <v>9</v>
      </c>
      <c r="E2374" s="36">
        <v>525322</v>
      </c>
      <c r="F2374" s="36"/>
      <c r="G2374" s="9">
        <f t="shared" si="47"/>
        <v>-810434</v>
      </c>
    </row>
    <row r="2375" spans="1:7" x14ac:dyDescent="0.2">
      <c r="A2375" s="12">
        <v>45427</v>
      </c>
      <c r="C2375" s="34" t="s">
        <v>1480</v>
      </c>
      <c r="D2375" s="1" t="s">
        <v>9</v>
      </c>
      <c r="E2375" s="36">
        <v>56770</v>
      </c>
      <c r="F2375" s="36"/>
      <c r="G2375" s="9">
        <f t="shared" si="47"/>
        <v>-753664</v>
      </c>
    </row>
    <row r="2376" spans="1:7" x14ac:dyDescent="0.2">
      <c r="A2376" s="12">
        <v>45427</v>
      </c>
      <c r="C2376" s="34" t="s">
        <v>1208</v>
      </c>
      <c r="D2376" s="1" t="s">
        <v>9</v>
      </c>
      <c r="E2376" s="36">
        <v>85286</v>
      </c>
      <c r="F2376" s="36"/>
      <c r="G2376" s="9">
        <f t="shared" si="47"/>
        <v>-668378</v>
      </c>
    </row>
    <row r="2377" spans="1:7" x14ac:dyDescent="0.2">
      <c r="A2377" s="12">
        <v>45427</v>
      </c>
      <c r="C2377" s="34" t="s">
        <v>1529</v>
      </c>
      <c r="D2377" s="1" t="s">
        <v>9</v>
      </c>
      <c r="E2377" s="36">
        <v>348485</v>
      </c>
      <c r="F2377" s="36"/>
      <c r="G2377" s="9">
        <f t="shared" si="47"/>
        <v>-319893</v>
      </c>
    </row>
    <row r="2378" spans="1:7" x14ac:dyDescent="0.2">
      <c r="A2378" s="12">
        <v>45427</v>
      </c>
      <c r="C2378" s="2" t="s">
        <v>35</v>
      </c>
      <c r="D2378" s="1" t="s">
        <v>9</v>
      </c>
      <c r="E2378" s="36"/>
      <c r="F2378" s="36">
        <v>6600</v>
      </c>
      <c r="G2378" s="9">
        <f t="shared" si="47"/>
        <v>-326493</v>
      </c>
    </row>
    <row r="2379" spans="1:7" x14ac:dyDescent="0.2">
      <c r="A2379" s="12">
        <v>45427</v>
      </c>
      <c r="C2379" s="2" t="s">
        <v>1093</v>
      </c>
      <c r="D2379" s="1" t="s">
        <v>9</v>
      </c>
      <c r="E2379" s="36">
        <v>62186</v>
      </c>
      <c r="F2379" s="36"/>
      <c r="G2379" s="9">
        <f t="shared" si="47"/>
        <v>-264307</v>
      </c>
    </row>
    <row r="2380" spans="1:7" x14ac:dyDescent="0.2">
      <c r="A2380" s="12">
        <v>45427</v>
      </c>
      <c r="B2380" s="35" t="s">
        <v>1533</v>
      </c>
      <c r="C2380" s="34" t="s">
        <v>1522</v>
      </c>
      <c r="D2380" s="35" t="s">
        <v>9</v>
      </c>
      <c r="E2380" s="36"/>
      <c r="F2380" s="36">
        <v>1396936</v>
      </c>
      <c r="G2380" s="9">
        <f t="shared" si="47"/>
        <v>-1661243</v>
      </c>
    </row>
    <row r="2381" spans="1:7" x14ac:dyDescent="0.2">
      <c r="A2381" s="12">
        <v>45427</v>
      </c>
      <c r="C2381" s="34" t="s">
        <v>528</v>
      </c>
      <c r="D2381" s="1" t="s">
        <v>9</v>
      </c>
      <c r="E2381" s="36"/>
      <c r="F2381" s="36">
        <v>5000</v>
      </c>
      <c r="G2381" s="9">
        <f t="shared" si="47"/>
        <v>-1666243</v>
      </c>
    </row>
    <row r="2382" spans="1:7" x14ac:dyDescent="0.2">
      <c r="A2382" s="37">
        <v>45428</v>
      </c>
      <c r="B2382" s="35" t="s">
        <v>1536</v>
      </c>
      <c r="C2382" s="34" t="s">
        <v>83</v>
      </c>
      <c r="D2382" s="35" t="s">
        <v>9</v>
      </c>
      <c r="E2382" s="36"/>
      <c r="F2382" s="36">
        <v>150000</v>
      </c>
      <c r="G2382" s="9">
        <f t="shared" si="47"/>
        <v>-1816243</v>
      </c>
    </row>
    <row r="2383" spans="1:7" x14ac:dyDescent="0.2">
      <c r="A2383" s="37">
        <v>45428</v>
      </c>
      <c r="B2383" s="35"/>
      <c r="C2383" s="34" t="s">
        <v>1537</v>
      </c>
      <c r="D2383" s="35" t="s">
        <v>9</v>
      </c>
      <c r="E2383" s="36"/>
      <c r="F2383" s="36">
        <v>44100</v>
      </c>
      <c r="G2383" s="9">
        <f t="shared" si="47"/>
        <v>-1860343</v>
      </c>
    </row>
    <row r="2384" spans="1:7" x14ac:dyDescent="0.2">
      <c r="A2384" s="12">
        <v>45429</v>
      </c>
      <c r="C2384" s="34" t="s">
        <v>1243</v>
      </c>
      <c r="D2384" s="1" t="s">
        <v>9</v>
      </c>
      <c r="E2384" s="36">
        <v>2526835</v>
      </c>
      <c r="F2384" s="36"/>
      <c r="G2384" s="9">
        <f t="shared" si="47"/>
        <v>666492</v>
      </c>
    </row>
    <row r="2385" spans="1:7" x14ac:dyDescent="0.2">
      <c r="A2385" s="12">
        <v>45429</v>
      </c>
      <c r="C2385" s="34" t="s">
        <v>1534</v>
      </c>
      <c r="D2385" s="1" t="s">
        <v>9</v>
      </c>
      <c r="E2385" s="36">
        <v>665136</v>
      </c>
      <c r="F2385" s="36"/>
      <c r="G2385" s="9">
        <f t="shared" si="47"/>
        <v>1331628</v>
      </c>
    </row>
    <row r="2386" spans="1:7" x14ac:dyDescent="0.2">
      <c r="A2386" s="12">
        <v>45429</v>
      </c>
      <c r="C2386" s="34" t="s">
        <v>1535</v>
      </c>
      <c r="D2386" s="1" t="s">
        <v>9</v>
      </c>
      <c r="E2386" s="36">
        <v>54664</v>
      </c>
      <c r="F2386" s="36"/>
      <c r="G2386" s="9">
        <f t="shared" si="47"/>
        <v>1386292</v>
      </c>
    </row>
    <row r="2387" spans="1:7" x14ac:dyDescent="0.2">
      <c r="A2387" s="12">
        <v>45434</v>
      </c>
      <c r="C2387" s="18" t="s">
        <v>1538</v>
      </c>
      <c r="D2387" s="1" t="s">
        <v>9</v>
      </c>
      <c r="E2387" s="36"/>
      <c r="F2387" s="36">
        <f>3373076</f>
        <v>3373076</v>
      </c>
      <c r="G2387" s="9">
        <f t="shared" si="47"/>
        <v>-1986784</v>
      </c>
    </row>
    <row r="2388" spans="1:7" x14ac:dyDescent="0.2">
      <c r="A2388" s="12">
        <v>45434</v>
      </c>
      <c r="C2388" s="34" t="s">
        <v>1539</v>
      </c>
      <c r="D2388" s="1" t="s">
        <v>9</v>
      </c>
      <c r="E2388" s="36">
        <v>1359820</v>
      </c>
      <c r="F2388" s="36"/>
      <c r="G2388" s="9">
        <f t="shared" ref="G2388:G2451" si="48">G2387+E2388-F2388</f>
        <v>-626964</v>
      </c>
    </row>
    <row r="2389" spans="1:7" x14ac:dyDescent="0.2">
      <c r="A2389" s="12">
        <v>45434</v>
      </c>
      <c r="C2389" s="34" t="s">
        <v>1235</v>
      </c>
      <c r="D2389" s="1" t="s">
        <v>9</v>
      </c>
      <c r="E2389" s="36">
        <v>400699</v>
      </c>
      <c r="F2389" s="36"/>
      <c r="G2389" s="9">
        <f t="shared" si="48"/>
        <v>-226265</v>
      </c>
    </row>
    <row r="2390" spans="1:7" x14ac:dyDescent="0.2">
      <c r="A2390" s="12">
        <v>45434</v>
      </c>
      <c r="C2390" s="2" t="s">
        <v>505</v>
      </c>
      <c r="D2390" s="1" t="s">
        <v>9</v>
      </c>
      <c r="E2390" s="36">
        <v>41395</v>
      </c>
      <c r="F2390" s="36"/>
      <c r="G2390" s="9">
        <f t="shared" si="48"/>
        <v>-184870</v>
      </c>
    </row>
    <row r="2391" spans="1:7" x14ac:dyDescent="0.2">
      <c r="A2391" s="12">
        <v>45435</v>
      </c>
      <c r="C2391" s="2" t="s">
        <v>1540</v>
      </c>
      <c r="E2391" s="36"/>
      <c r="F2391" s="36">
        <v>2592053</v>
      </c>
      <c r="G2391" s="9">
        <f t="shared" si="48"/>
        <v>-2776923</v>
      </c>
    </row>
    <row r="2392" spans="1:7" x14ac:dyDescent="0.2">
      <c r="A2392" s="12">
        <v>45436</v>
      </c>
      <c r="C2392" s="44" t="s">
        <v>1549</v>
      </c>
      <c r="D2392" s="35"/>
      <c r="E2392" s="36"/>
      <c r="F2392" s="36">
        <v>76491</v>
      </c>
      <c r="G2392" s="9">
        <f t="shared" si="48"/>
        <v>-2853414</v>
      </c>
    </row>
    <row r="2393" spans="1:7" x14ac:dyDescent="0.2">
      <c r="A2393" s="12">
        <v>45439</v>
      </c>
      <c r="C2393" s="34" t="s">
        <v>27</v>
      </c>
      <c r="D2393" s="35" t="s">
        <v>9</v>
      </c>
      <c r="E2393" s="36"/>
      <c r="F2393" s="36">
        <v>150000</v>
      </c>
      <c r="G2393" s="9">
        <f t="shared" si="48"/>
        <v>-3003414</v>
      </c>
    </row>
    <row r="2394" spans="1:7" x14ac:dyDescent="0.2">
      <c r="A2394" s="12">
        <v>45439</v>
      </c>
      <c r="C2394" s="34" t="s">
        <v>1210</v>
      </c>
      <c r="D2394" s="1" t="s">
        <v>9</v>
      </c>
      <c r="E2394" s="36">
        <v>585527</v>
      </c>
      <c r="F2394" s="36"/>
      <c r="G2394" s="9">
        <f t="shared" si="48"/>
        <v>-2417887</v>
      </c>
    </row>
    <row r="2395" spans="1:7" x14ac:dyDescent="0.2">
      <c r="A2395" s="12">
        <v>45439</v>
      </c>
      <c r="C2395" s="34" t="s">
        <v>1210</v>
      </c>
      <c r="D2395" s="1" t="s">
        <v>9</v>
      </c>
      <c r="E2395" s="36">
        <v>367813</v>
      </c>
      <c r="F2395" s="36"/>
      <c r="G2395" s="9">
        <f t="shared" si="48"/>
        <v>-2050074</v>
      </c>
    </row>
    <row r="2396" spans="1:7" x14ac:dyDescent="0.2">
      <c r="A2396" s="12">
        <v>45439</v>
      </c>
      <c r="C2396" s="34" t="s">
        <v>1541</v>
      </c>
      <c r="D2396" s="1" t="s">
        <v>9</v>
      </c>
      <c r="E2396" s="36">
        <v>107085</v>
      </c>
      <c r="F2396" s="36"/>
      <c r="G2396" s="9">
        <f t="shared" si="48"/>
        <v>-1942989</v>
      </c>
    </row>
    <row r="2397" spans="1:7" x14ac:dyDescent="0.2">
      <c r="A2397" s="12">
        <v>45440</v>
      </c>
      <c r="C2397" s="34" t="s">
        <v>1517</v>
      </c>
      <c r="D2397" s="1" t="s">
        <v>9</v>
      </c>
      <c r="E2397" s="36">
        <v>16449</v>
      </c>
      <c r="F2397" s="36"/>
      <c r="G2397" s="9">
        <f t="shared" si="48"/>
        <v>-1926540</v>
      </c>
    </row>
    <row r="2398" spans="1:7" x14ac:dyDescent="0.2">
      <c r="A2398" s="12">
        <v>45440</v>
      </c>
      <c r="C2398" s="34" t="s">
        <v>115</v>
      </c>
      <c r="D2398" s="1" t="s">
        <v>9</v>
      </c>
      <c r="E2398" s="36">
        <v>98341</v>
      </c>
      <c r="F2398" s="36"/>
      <c r="G2398" s="9">
        <f t="shared" si="48"/>
        <v>-1828199</v>
      </c>
    </row>
    <row r="2399" spans="1:7" x14ac:dyDescent="0.2">
      <c r="A2399" s="12">
        <v>45440</v>
      </c>
      <c r="C2399" s="34" t="s">
        <v>1542</v>
      </c>
      <c r="D2399" s="1" t="s">
        <v>9</v>
      </c>
      <c r="E2399" s="36">
        <v>154000</v>
      </c>
      <c r="F2399" s="36"/>
      <c r="G2399" s="9">
        <f t="shared" si="48"/>
        <v>-1674199</v>
      </c>
    </row>
    <row r="2400" spans="1:7" x14ac:dyDescent="0.2">
      <c r="A2400" s="12">
        <v>45440</v>
      </c>
      <c r="C2400" s="34" t="s">
        <v>1543</v>
      </c>
      <c r="D2400" s="1" t="s">
        <v>9</v>
      </c>
      <c r="E2400" s="36">
        <v>53773</v>
      </c>
      <c r="F2400" s="36"/>
      <c r="G2400" s="9">
        <f t="shared" si="48"/>
        <v>-1620426</v>
      </c>
    </row>
    <row r="2401" spans="1:7" x14ac:dyDescent="0.2">
      <c r="A2401" s="12">
        <v>45441</v>
      </c>
      <c r="C2401" s="34" t="s">
        <v>115</v>
      </c>
      <c r="D2401" s="1" t="s">
        <v>9</v>
      </c>
      <c r="E2401" s="36">
        <v>32391</v>
      </c>
      <c r="F2401" s="36"/>
      <c r="G2401" s="9">
        <f t="shared" si="48"/>
        <v>-1588035</v>
      </c>
    </row>
    <row r="2402" spans="1:7" x14ac:dyDescent="0.2">
      <c r="A2402" s="12">
        <v>45441</v>
      </c>
      <c r="C2402" s="18" t="s">
        <v>1545</v>
      </c>
      <c r="D2402" s="1" t="s">
        <v>9</v>
      </c>
      <c r="E2402" s="36">
        <v>99850</v>
      </c>
      <c r="F2402" s="36"/>
      <c r="G2402" s="9">
        <f t="shared" si="48"/>
        <v>-1488185</v>
      </c>
    </row>
    <row r="2403" spans="1:7" x14ac:dyDescent="0.2">
      <c r="A2403" s="12">
        <v>45441</v>
      </c>
      <c r="C2403" s="18" t="s">
        <v>1545</v>
      </c>
      <c r="D2403" s="1" t="s">
        <v>9</v>
      </c>
      <c r="E2403" s="36">
        <v>230298</v>
      </c>
      <c r="F2403" s="36"/>
      <c r="G2403" s="9">
        <f t="shared" si="48"/>
        <v>-1257887</v>
      </c>
    </row>
    <row r="2404" spans="1:7" x14ac:dyDescent="0.2">
      <c r="A2404" s="12">
        <v>45441</v>
      </c>
      <c r="C2404" s="18" t="s">
        <v>1545</v>
      </c>
      <c r="D2404" s="1" t="s">
        <v>9</v>
      </c>
      <c r="E2404" s="36">
        <v>775850</v>
      </c>
      <c r="F2404" s="36"/>
      <c r="G2404" s="9">
        <f t="shared" si="48"/>
        <v>-482037</v>
      </c>
    </row>
    <row r="2405" spans="1:7" x14ac:dyDescent="0.2">
      <c r="A2405" s="12">
        <v>45441</v>
      </c>
      <c r="C2405" s="18" t="s">
        <v>1546</v>
      </c>
      <c r="D2405" s="1" t="s">
        <v>9</v>
      </c>
      <c r="E2405" s="36"/>
      <c r="F2405" s="36">
        <v>1000000</v>
      </c>
      <c r="G2405" s="9">
        <f t="shared" si="48"/>
        <v>-1482037</v>
      </c>
    </row>
    <row r="2406" spans="1:7" x14ac:dyDescent="0.2">
      <c r="A2406" s="12">
        <v>45441</v>
      </c>
      <c r="C2406" s="2" t="s">
        <v>34</v>
      </c>
      <c r="D2406" s="1" t="s">
        <v>9</v>
      </c>
      <c r="E2406" s="36"/>
      <c r="F2406" s="36">
        <v>138</v>
      </c>
      <c r="G2406" s="9">
        <f t="shared" si="48"/>
        <v>-1482175</v>
      </c>
    </row>
    <row r="2407" spans="1:7" x14ac:dyDescent="0.2">
      <c r="A2407" s="12">
        <v>45441</v>
      </c>
      <c r="B2407" s="45" t="s">
        <v>1548</v>
      </c>
      <c r="C2407" s="44" t="s">
        <v>1551</v>
      </c>
      <c r="D2407" s="1" t="s">
        <v>9</v>
      </c>
      <c r="E2407" s="36"/>
      <c r="F2407" s="36">
        <v>165000</v>
      </c>
      <c r="G2407" s="9">
        <f t="shared" si="48"/>
        <v>-1647175</v>
      </c>
    </row>
    <row r="2408" spans="1:7" x14ac:dyDescent="0.2">
      <c r="A2408" s="12">
        <v>45441</v>
      </c>
      <c r="B2408" s="45" t="s">
        <v>1547</v>
      </c>
      <c r="C2408" s="44" t="s">
        <v>1505</v>
      </c>
      <c r="D2408" s="1" t="s">
        <v>9</v>
      </c>
      <c r="E2408" s="36"/>
      <c r="F2408" s="36">
        <v>935000</v>
      </c>
      <c r="G2408" s="9">
        <f t="shared" si="48"/>
        <v>-2582175</v>
      </c>
    </row>
    <row r="2409" spans="1:7" x14ac:dyDescent="0.2">
      <c r="A2409" s="12">
        <v>45442</v>
      </c>
      <c r="C2409" s="18" t="s">
        <v>926</v>
      </c>
      <c r="D2409" s="1" t="s">
        <v>9</v>
      </c>
      <c r="E2409" s="36">
        <v>20862</v>
      </c>
      <c r="F2409" s="36"/>
      <c r="G2409" s="9">
        <f t="shared" si="48"/>
        <v>-2561313</v>
      </c>
    </row>
    <row r="2410" spans="1:7" x14ac:dyDescent="0.2">
      <c r="A2410" s="12">
        <v>45442</v>
      </c>
      <c r="C2410" s="18" t="s">
        <v>1545</v>
      </c>
      <c r="D2410" s="1" t="s">
        <v>9</v>
      </c>
      <c r="E2410" s="36">
        <v>989265</v>
      </c>
      <c r="F2410" s="36"/>
      <c r="G2410" s="9">
        <f t="shared" si="48"/>
        <v>-1572048</v>
      </c>
    </row>
    <row r="2411" spans="1:7" x14ac:dyDescent="0.2">
      <c r="A2411" s="12">
        <v>45442</v>
      </c>
      <c r="C2411" s="18" t="s">
        <v>1545</v>
      </c>
      <c r="D2411" s="1" t="s">
        <v>9</v>
      </c>
      <c r="E2411" s="36">
        <v>574564</v>
      </c>
      <c r="F2411" s="36"/>
      <c r="G2411" s="9">
        <f t="shared" si="48"/>
        <v>-997484</v>
      </c>
    </row>
    <row r="2412" spans="1:7" x14ac:dyDescent="0.2">
      <c r="A2412" s="12">
        <v>45442</v>
      </c>
      <c r="C2412" s="2" t="s">
        <v>34</v>
      </c>
      <c r="D2412" s="1" t="s">
        <v>9</v>
      </c>
      <c r="E2412" s="36"/>
      <c r="F2412" s="36">
        <v>138</v>
      </c>
      <c r="G2412" s="9">
        <f t="shared" si="48"/>
        <v>-997622</v>
      </c>
    </row>
    <row r="2413" spans="1:7" x14ac:dyDescent="0.2">
      <c r="A2413" s="12">
        <v>45442</v>
      </c>
      <c r="C2413" s="18" t="s">
        <v>1546</v>
      </c>
      <c r="D2413" s="1" t="s">
        <v>9</v>
      </c>
      <c r="E2413" s="36"/>
      <c r="F2413" s="36">
        <v>3044533</v>
      </c>
      <c r="G2413" s="9">
        <f t="shared" si="48"/>
        <v>-4042155</v>
      </c>
    </row>
    <row r="2414" spans="1:7" x14ac:dyDescent="0.2">
      <c r="A2414" s="12">
        <v>45443</v>
      </c>
      <c r="C2414" s="18" t="s">
        <v>35</v>
      </c>
      <c r="D2414" s="1" t="s">
        <v>9</v>
      </c>
      <c r="E2414" s="36"/>
      <c r="F2414" s="36">
        <v>6600</v>
      </c>
      <c r="G2414" s="9">
        <f t="shared" si="48"/>
        <v>-4048755</v>
      </c>
    </row>
    <row r="2415" spans="1:7" x14ac:dyDescent="0.2">
      <c r="A2415" s="12">
        <v>45443</v>
      </c>
      <c r="C2415" s="18" t="s">
        <v>35</v>
      </c>
      <c r="D2415" s="1" t="s">
        <v>9</v>
      </c>
      <c r="E2415" s="36"/>
      <c r="F2415" s="36">
        <v>6600</v>
      </c>
      <c r="G2415" s="9">
        <f t="shared" si="48"/>
        <v>-4055355</v>
      </c>
    </row>
    <row r="2416" spans="1:7" x14ac:dyDescent="0.2">
      <c r="A2416" s="12">
        <v>45443</v>
      </c>
      <c r="C2416" s="18" t="s">
        <v>1550</v>
      </c>
      <c r="D2416" s="1" t="s">
        <v>9</v>
      </c>
      <c r="E2416" s="36"/>
      <c r="F2416" s="36">
        <v>85091</v>
      </c>
      <c r="G2416" s="9">
        <f t="shared" si="48"/>
        <v>-4140446</v>
      </c>
    </row>
    <row r="2417" spans="1:12" ht="15.75" x14ac:dyDescent="0.25">
      <c r="A2417" s="10" t="s">
        <v>1552</v>
      </c>
      <c r="E2417" s="36"/>
      <c r="F2417" s="36"/>
      <c r="G2417" s="9">
        <f t="shared" si="48"/>
        <v>-4140446</v>
      </c>
    </row>
    <row r="2418" spans="1:12" x14ac:dyDescent="0.2">
      <c r="A2418" s="12">
        <v>45446</v>
      </c>
      <c r="C2418" s="18" t="s">
        <v>61</v>
      </c>
      <c r="D2418" s="1" t="s">
        <v>9</v>
      </c>
      <c r="E2418" s="36">
        <v>151114</v>
      </c>
      <c r="F2418" s="36"/>
      <c r="G2418" s="9">
        <f t="shared" si="48"/>
        <v>-3989332</v>
      </c>
    </row>
    <row r="2419" spans="1:12" x14ac:dyDescent="0.2">
      <c r="A2419" s="12">
        <v>45446</v>
      </c>
      <c r="B2419" s="47"/>
      <c r="C2419" s="18" t="s">
        <v>1558</v>
      </c>
      <c r="D2419" s="1" t="s">
        <v>9</v>
      </c>
      <c r="E2419" s="36">
        <v>210188</v>
      </c>
      <c r="F2419" s="36"/>
      <c r="G2419" s="9">
        <f t="shared" si="48"/>
        <v>-3779144</v>
      </c>
    </row>
    <row r="2420" spans="1:12" x14ac:dyDescent="0.2">
      <c r="A2420" s="12">
        <v>45446</v>
      </c>
      <c r="B2420" s="48"/>
      <c r="C2420" s="18" t="s">
        <v>1559</v>
      </c>
      <c r="D2420" s="1" t="s">
        <v>9</v>
      </c>
      <c r="E2420" s="36">
        <v>130390</v>
      </c>
      <c r="F2420" s="36"/>
      <c r="G2420" s="9">
        <f t="shared" si="48"/>
        <v>-3648754</v>
      </c>
    </row>
    <row r="2421" spans="1:12" x14ac:dyDescent="0.2">
      <c r="A2421" s="12">
        <v>45446</v>
      </c>
      <c r="B2421" s="48"/>
      <c r="C2421" s="18" t="s">
        <v>1560</v>
      </c>
      <c r="D2421" s="1" t="s">
        <v>9</v>
      </c>
      <c r="E2421" s="36">
        <v>37301</v>
      </c>
      <c r="F2421" s="36"/>
      <c r="G2421" s="9">
        <f t="shared" si="48"/>
        <v>-3611453</v>
      </c>
    </row>
    <row r="2422" spans="1:12" x14ac:dyDescent="0.2">
      <c r="A2422" s="12">
        <v>45446</v>
      </c>
      <c r="B2422" s="48"/>
      <c r="C2422" s="18" t="s">
        <v>1560</v>
      </c>
      <c r="D2422" s="1" t="s">
        <v>9</v>
      </c>
      <c r="E2422" s="36">
        <v>119607</v>
      </c>
      <c r="F2422" s="36"/>
      <c r="G2422" s="9">
        <f t="shared" si="48"/>
        <v>-3491846</v>
      </c>
    </row>
    <row r="2423" spans="1:12" x14ac:dyDescent="0.2">
      <c r="A2423" s="12">
        <v>45446</v>
      </c>
      <c r="B2423" s="48"/>
      <c r="C2423" s="18" t="s">
        <v>1561</v>
      </c>
      <c r="D2423" s="1" t="s">
        <v>9</v>
      </c>
      <c r="E2423" s="36">
        <v>148325</v>
      </c>
      <c r="F2423" s="36"/>
      <c r="G2423" s="9">
        <f t="shared" si="48"/>
        <v>-3343521</v>
      </c>
    </row>
    <row r="2424" spans="1:12" x14ac:dyDescent="0.2">
      <c r="A2424" s="12">
        <v>45446</v>
      </c>
      <c r="C2424" s="48" t="s">
        <v>1563</v>
      </c>
      <c r="D2424" s="1" t="s">
        <v>9</v>
      </c>
      <c r="E2424" s="36">
        <v>343026</v>
      </c>
      <c r="F2424" s="36"/>
      <c r="G2424" s="9">
        <f t="shared" si="48"/>
        <v>-3000495</v>
      </c>
    </row>
    <row r="2425" spans="1:12" x14ac:dyDescent="0.2">
      <c r="A2425" s="12">
        <v>45446</v>
      </c>
      <c r="B2425" s="48"/>
      <c r="C2425" s="18" t="s">
        <v>1562</v>
      </c>
      <c r="D2425" s="1" t="s">
        <v>9</v>
      </c>
      <c r="E2425" s="36">
        <v>1856967</v>
      </c>
      <c r="F2425" s="36"/>
      <c r="G2425" s="9">
        <f t="shared" si="48"/>
        <v>-1143528</v>
      </c>
    </row>
    <row r="2426" spans="1:12" x14ac:dyDescent="0.2">
      <c r="A2426" s="12">
        <v>45446</v>
      </c>
      <c r="B2426" s="48"/>
      <c r="C2426" s="18" t="s">
        <v>1562</v>
      </c>
      <c r="D2426" s="1" t="s">
        <v>9</v>
      </c>
      <c r="E2426" s="36">
        <v>452766</v>
      </c>
      <c r="F2426" s="36"/>
      <c r="G2426" s="9">
        <f t="shared" si="48"/>
        <v>-690762</v>
      </c>
      <c r="L2426" s="36"/>
    </row>
    <row r="2427" spans="1:12" x14ac:dyDescent="0.2">
      <c r="A2427" s="12">
        <v>45446</v>
      </c>
      <c r="B2427" s="48"/>
      <c r="C2427" s="18" t="s">
        <v>1562</v>
      </c>
      <c r="D2427" s="1" t="s">
        <v>9</v>
      </c>
      <c r="E2427" s="36">
        <v>42669</v>
      </c>
      <c r="F2427" s="36"/>
      <c r="G2427" s="9">
        <f t="shared" si="48"/>
        <v>-648093</v>
      </c>
    </row>
    <row r="2428" spans="1:12" x14ac:dyDescent="0.2">
      <c r="A2428" s="12">
        <v>45446</v>
      </c>
      <c r="C2428" s="18" t="s">
        <v>1553</v>
      </c>
      <c r="D2428" s="1" t="s">
        <v>9</v>
      </c>
      <c r="E2428" s="36">
        <v>904765</v>
      </c>
      <c r="F2428" s="36"/>
      <c r="G2428" s="9">
        <f t="shared" si="48"/>
        <v>256672</v>
      </c>
    </row>
    <row r="2429" spans="1:12" x14ac:dyDescent="0.2">
      <c r="A2429" s="12">
        <v>45446</v>
      </c>
      <c r="C2429" s="18" t="s">
        <v>1553</v>
      </c>
      <c r="D2429" s="1" t="s">
        <v>9</v>
      </c>
      <c r="E2429" s="36">
        <v>238950</v>
      </c>
      <c r="F2429" s="36"/>
      <c r="G2429" s="9">
        <f t="shared" si="48"/>
        <v>495622</v>
      </c>
    </row>
    <row r="2430" spans="1:12" x14ac:dyDescent="0.2">
      <c r="A2430" s="12">
        <v>45448</v>
      </c>
      <c r="C2430" s="49" t="s">
        <v>1554</v>
      </c>
      <c r="D2430" s="1" t="s">
        <v>9</v>
      </c>
      <c r="E2430" s="36">
        <v>179214</v>
      </c>
      <c r="F2430" s="36"/>
      <c r="G2430" s="9">
        <f t="shared" si="48"/>
        <v>674836</v>
      </c>
    </row>
    <row r="2431" spans="1:12" x14ac:dyDescent="0.2">
      <c r="A2431" s="12">
        <v>45448</v>
      </c>
      <c r="C2431" s="48" t="s">
        <v>1555</v>
      </c>
      <c r="D2431" s="1" t="s">
        <v>9</v>
      </c>
      <c r="E2431" s="36">
        <v>663957</v>
      </c>
      <c r="F2431" s="36"/>
      <c r="G2431" s="9">
        <f t="shared" si="48"/>
        <v>1338793</v>
      </c>
      <c r="K2431" s="3"/>
    </row>
    <row r="2432" spans="1:12" x14ac:dyDescent="0.2">
      <c r="A2432" s="12">
        <v>45448</v>
      </c>
      <c r="C2432" s="48" t="s">
        <v>1556</v>
      </c>
      <c r="D2432" s="1" t="s">
        <v>9</v>
      </c>
      <c r="E2432" s="36">
        <v>693840</v>
      </c>
      <c r="F2432" s="36"/>
      <c r="G2432" s="9">
        <f t="shared" si="48"/>
        <v>2032633</v>
      </c>
    </row>
    <row r="2433" spans="1:9" x14ac:dyDescent="0.2">
      <c r="A2433" s="12">
        <v>45448</v>
      </c>
      <c r="C2433" s="48" t="s">
        <v>1557</v>
      </c>
      <c r="D2433" s="1" t="s">
        <v>9</v>
      </c>
      <c r="E2433" s="36">
        <v>60926</v>
      </c>
      <c r="F2433" s="36"/>
      <c r="G2433" s="9">
        <f t="shared" si="48"/>
        <v>2093559</v>
      </c>
    </row>
    <row r="2434" spans="1:9" x14ac:dyDescent="0.2">
      <c r="A2434" s="12">
        <v>45448</v>
      </c>
      <c r="C2434" s="34" t="s">
        <v>84</v>
      </c>
      <c r="D2434" s="1" t="s">
        <v>9</v>
      </c>
      <c r="E2434" s="36"/>
      <c r="F2434" s="36">
        <v>487589</v>
      </c>
      <c r="G2434" s="9">
        <f t="shared" si="48"/>
        <v>1605970</v>
      </c>
    </row>
    <row r="2435" spans="1:9" x14ac:dyDescent="0.2">
      <c r="A2435" s="12">
        <v>45448</v>
      </c>
      <c r="B2435" s="1" t="s">
        <v>1578</v>
      </c>
      <c r="C2435" s="2" t="s">
        <v>1575</v>
      </c>
      <c r="D2435" s="1" t="s">
        <v>9</v>
      </c>
      <c r="E2435" s="36"/>
      <c r="F2435" s="36">
        <v>625000</v>
      </c>
      <c r="G2435" s="9">
        <f t="shared" si="48"/>
        <v>980970</v>
      </c>
    </row>
    <row r="2436" spans="1:9" x14ac:dyDescent="0.2">
      <c r="A2436" s="12">
        <v>45448</v>
      </c>
      <c r="C2436" s="2" t="s">
        <v>1564</v>
      </c>
      <c r="D2436" s="1" t="s">
        <v>9</v>
      </c>
      <c r="E2436" s="36"/>
      <c r="F2436" s="36">
        <f>627393+275</f>
        <v>627668</v>
      </c>
      <c r="G2436" s="9">
        <f t="shared" si="48"/>
        <v>353302</v>
      </c>
      <c r="I2436" s="9">
        <v>1457559</v>
      </c>
    </row>
    <row r="2437" spans="1:9" x14ac:dyDescent="0.2">
      <c r="A2437" s="12">
        <v>45453</v>
      </c>
      <c r="C2437" s="2" t="s">
        <v>1565</v>
      </c>
      <c r="D2437" s="1" t="s">
        <v>9</v>
      </c>
      <c r="E2437" s="36"/>
      <c r="F2437" s="36">
        <f>1217760+275</f>
        <v>1218035</v>
      </c>
      <c r="G2437" s="9">
        <f t="shared" si="48"/>
        <v>-864733</v>
      </c>
      <c r="I2437" s="9">
        <f>+I2436+L2426</f>
        <v>1457559</v>
      </c>
    </row>
    <row r="2438" spans="1:9" x14ac:dyDescent="0.2">
      <c r="A2438" s="12">
        <v>45453</v>
      </c>
      <c r="C2438" s="2" t="s">
        <v>1567</v>
      </c>
      <c r="D2438" s="1" t="s">
        <v>9</v>
      </c>
      <c r="E2438" s="36"/>
      <c r="F2438" s="36">
        <v>378616</v>
      </c>
      <c r="G2438" s="9">
        <f t="shared" si="48"/>
        <v>-1243349</v>
      </c>
      <c r="I2438" s="9">
        <f>+G2437-I2437</f>
        <v>-2322292</v>
      </c>
    </row>
    <row r="2439" spans="1:9" x14ac:dyDescent="0.2">
      <c r="A2439" s="12">
        <v>45453</v>
      </c>
      <c r="C2439" s="2" t="s">
        <v>1566</v>
      </c>
      <c r="D2439" s="1" t="s">
        <v>9</v>
      </c>
      <c r="E2439" s="36"/>
      <c r="F2439" s="36">
        <v>347908</v>
      </c>
      <c r="G2439" s="9">
        <f t="shared" si="48"/>
        <v>-1591257</v>
      </c>
    </row>
    <row r="2440" spans="1:9" x14ac:dyDescent="0.2">
      <c r="A2440" s="12">
        <v>45453</v>
      </c>
      <c r="C2440" s="2" t="s">
        <v>1568</v>
      </c>
      <c r="D2440" s="1" t="s">
        <v>9</v>
      </c>
      <c r="E2440" s="36"/>
      <c r="F2440" s="36">
        <v>605448</v>
      </c>
      <c r="G2440" s="9">
        <f t="shared" si="48"/>
        <v>-2196705</v>
      </c>
    </row>
    <row r="2441" spans="1:9" x14ac:dyDescent="0.2">
      <c r="A2441" s="12">
        <v>45453</v>
      </c>
      <c r="B2441" s="1" t="s">
        <v>1571</v>
      </c>
      <c r="C2441" s="2" t="s">
        <v>1585</v>
      </c>
      <c r="D2441" s="1" t="s">
        <v>9</v>
      </c>
      <c r="E2441" s="36"/>
      <c r="F2441" s="36">
        <v>524130</v>
      </c>
      <c r="G2441" s="9">
        <f t="shared" si="48"/>
        <v>-2720835</v>
      </c>
    </row>
    <row r="2442" spans="1:9" x14ac:dyDescent="0.2">
      <c r="A2442" s="12">
        <v>45453</v>
      </c>
      <c r="B2442" s="1" t="s">
        <v>1572</v>
      </c>
      <c r="C2442" s="2" t="s">
        <v>1586</v>
      </c>
      <c r="D2442" s="1" t="s">
        <v>9</v>
      </c>
      <c r="E2442" s="36"/>
      <c r="F2442" s="36">
        <v>316213</v>
      </c>
      <c r="G2442" s="9">
        <f t="shared" si="48"/>
        <v>-3037048</v>
      </c>
    </row>
    <row r="2443" spans="1:9" x14ac:dyDescent="0.2">
      <c r="A2443" s="12">
        <v>45453</v>
      </c>
      <c r="C2443" s="2" t="s">
        <v>1028</v>
      </c>
      <c r="D2443" s="1" t="s">
        <v>9</v>
      </c>
      <c r="E2443" s="36">
        <v>21063</v>
      </c>
      <c r="F2443" s="36"/>
      <c r="G2443" s="9">
        <f t="shared" si="48"/>
        <v>-3015985</v>
      </c>
    </row>
    <row r="2444" spans="1:9" x14ac:dyDescent="0.2">
      <c r="A2444" s="12">
        <v>45455</v>
      </c>
      <c r="C2444" s="2" t="s">
        <v>1576</v>
      </c>
      <c r="D2444" s="1" t="s">
        <v>9</v>
      </c>
      <c r="E2444" s="36">
        <v>334801</v>
      </c>
      <c r="F2444" s="36"/>
      <c r="G2444" s="9">
        <f t="shared" si="48"/>
        <v>-2681184</v>
      </c>
    </row>
    <row r="2445" spans="1:9" x14ac:dyDescent="0.2">
      <c r="A2445" s="12">
        <v>45455</v>
      </c>
      <c r="C2445" s="2" t="s">
        <v>1441</v>
      </c>
      <c r="D2445" s="1" t="s">
        <v>9</v>
      </c>
      <c r="E2445" s="36">
        <v>28866</v>
      </c>
      <c r="F2445" s="36"/>
      <c r="G2445" s="9">
        <f t="shared" si="48"/>
        <v>-2652318</v>
      </c>
    </row>
    <row r="2446" spans="1:9" x14ac:dyDescent="0.2">
      <c r="A2446" s="12">
        <v>45455</v>
      </c>
      <c r="C2446" s="2" t="s">
        <v>1441</v>
      </c>
      <c r="D2446" s="1" t="s">
        <v>9</v>
      </c>
      <c r="E2446" s="36">
        <v>114465</v>
      </c>
      <c r="F2446" s="36"/>
      <c r="G2446" s="9">
        <f t="shared" si="48"/>
        <v>-2537853</v>
      </c>
    </row>
    <row r="2447" spans="1:9" x14ac:dyDescent="0.2">
      <c r="A2447" s="12">
        <v>45455</v>
      </c>
      <c r="C2447" s="2" t="s">
        <v>1582</v>
      </c>
      <c r="D2447" s="1" t="s">
        <v>9</v>
      </c>
      <c r="E2447" s="36">
        <v>239835</v>
      </c>
      <c r="F2447" s="36"/>
      <c r="G2447" s="9">
        <f t="shared" si="48"/>
        <v>-2298018</v>
      </c>
    </row>
    <row r="2448" spans="1:9" x14ac:dyDescent="0.2">
      <c r="A2448" s="12">
        <v>45455</v>
      </c>
      <c r="C2448" s="2" t="s">
        <v>1580</v>
      </c>
      <c r="D2448" s="1" t="s">
        <v>9</v>
      </c>
      <c r="E2448" s="36">
        <v>95580</v>
      </c>
      <c r="F2448" s="36"/>
      <c r="G2448" s="9">
        <f t="shared" si="48"/>
        <v>-2202438</v>
      </c>
    </row>
    <row r="2449" spans="1:7" x14ac:dyDescent="0.2">
      <c r="A2449" s="12">
        <v>45455</v>
      </c>
      <c r="C2449" s="2" t="s">
        <v>1581</v>
      </c>
      <c r="D2449" s="1" t="s">
        <v>9</v>
      </c>
      <c r="E2449" s="36">
        <v>136762</v>
      </c>
      <c r="F2449" s="36"/>
      <c r="G2449" s="9">
        <f t="shared" si="48"/>
        <v>-2065676</v>
      </c>
    </row>
    <row r="2450" spans="1:7" x14ac:dyDescent="0.2">
      <c r="A2450" s="12">
        <v>45455</v>
      </c>
      <c r="C2450" s="2" t="s">
        <v>1579</v>
      </c>
      <c r="D2450" s="1" t="s">
        <v>9</v>
      </c>
      <c r="E2450" s="36">
        <v>2996996</v>
      </c>
      <c r="F2450" s="36"/>
      <c r="G2450" s="9">
        <f t="shared" si="48"/>
        <v>931320</v>
      </c>
    </row>
    <row r="2451" spans="1:7" x14ac:dyDescent="0.2">
      <c r="A2451" s="12">
        <v>45455</v>
      </c>
      <c r="C2451" s="2" t="s">
        <v>1583</v>
      </c>
      <c r="D2451" s="1" t="s">
        <v>9</v>
      </c>
      <c r="E2451" s="36">
        <v>309927</v>
      </c>
      <c r="F2451" s="36"/>
      <c r="G2451" s="9">
        <f t="shared" si="48"/>
        <v>1241247</v>
      </c>
    </row>
    <row r="2452" spans="1:7" x14ac:dyDescent="0.2">
      <c r="A2452" s="12">
        <v>45455</v>
      </c>
      <c r="C2452" s="2" t="s">
        <v>1584</v>
      </c>
      <c r="D2452" s="1" t="s">
        <v>9</v>
      </c>
      <c r="E2452" s="36">
        <v>1097856</v>
      </c>
      <c r="F2452" s="36"/>
      <c r="G2452" s="9">
        <f t="shared" ref="G2452:G2515" si="49">G2451+E2452-F2452</f>
        <v>2339103</v>
      </c>
    </row>
    <row r="2453" spans="1:7" x14ac:dyDescent="0.2">
      <c r="A2453" s="12">
        <v>45455</v>
      </c>
      <c r="C2453" s="2" t="s">
        <v>1569</v>
      </c>
      <c r="D2453" s="1" t="s">
        <v>9</v>
      </c>
      <c r="E2453" s="36"/>
      <c r="F2453" s="36">
        <v>2301753</v>
      </c>
      <c r="G2453" s="9">
        <f t="shared" si="49"/>
        <v>37350</v>
      </c>
    </row>
    <row r="2454" spans="1:7" x14ac:dyDescent="0.2">
      <c r="A2454" s="12">
        <v>45455</v>
      </c>
      <c r="C2454" s="2" t="s">
        <v>1577</v>
      </c>
      <c r="D2454" s="1" t="s">
        <v>9</v>
      </c>
      <c r="E2454" s="36"/>
      <c r="F2454" s="36">
        <v>70755</v>
      </c>
      <c r="G2454" s="9">
        <f t="shared" si="49"/>
        <v>-33405</v>
      </c>
    </row>
    <row r="2455" spans="1:7" x14ac:dyDescent="0.2">
      <c r="A2455" s="12">
        <v>45455</v>
      </c>
      <c r="B2455" s="1" t="s">
        <v>1573</v>
      </c>
      <c r="C2455" s="2" t="s">
        <v>1574</v>
      </c>
      <c r="D2455" s="1" t="s">
        <v>9</v>
      </c>
      <c r="E2455" s="36"/>
      <c r="F2455" s="36">
        <v>400000</v>
      </c>
      <c r="G2455" s="9">
        <f t="shared" si="49"/>
        <v>-433405</v>
      </c>
    </row>
    <row r="2456" spans="1:7" x14ac:dyDescent="0.2">
      <c r="A2456" s="12">
        <v>45456</v>
      </c>
      <c r="B2456" s="14"/>
      <c r="C2456" s="15" t="s">
        <v>1587</v>
      </c>
      <c r="D2456" s="14"/>
      <c r="E2456" s="16"/>
      <c r="F2456" s="16">
        <v>3163494</v>
      </c>
      <c r="G2456" s="9">
        <f t="shared" si="49"/>
        <v>-3596899</v>
      </c>
    </row>
    <row r="2457" spans="1:7" x14ac:dyDescent="0.2">
      <c r="A2457" s="12">
        <v>45456</v>
      </c>
      <c r="B2457" s="14"/>
      <c r="C2457" s="15" t="s">
        <v>1587</v>
      </c>
      <c r="D2457" s="14"/>
      <c r="E2457" s="16"/>
      <c r="F2457" s="16">
        <v>25722</v>
      </c>
      <c r="G2457" s="9">
        <f t="shared" si="49"/>
        <v>-3622621</v>
      </c>
    </row>
    <row r="2458" spans="1:7" x14ac:dyDescent="0.2">
      <c r="A2458" s="12">
        <v>45456</v>
      </c>
      <c r="C2458" s="2" t="s">
        <v>1592</v>
      </c>
      <c r="D2458" s="1" t="s">
        <v>9</v>
      </c>
      <c r="E2458" s="36">
        <v>43896</v>
      </c>
      <c r="F2458" s="36"/>
      <c r="G2458" s="9">
        <f t="shared" si="49"/>
        <v>-3578725</v>
      </c>
    </row>
    <row r="2459" spans="1:7" x14ac:dyDescent="0.2">
      <c r="A2459" s="12">
        <v>45456</v>
      </c>
      <c r="C2459" s="2" t="s">
        <v>1588</v>
      </c>
      <c r="D2459" s="1" t="s">
        <v>9</v>
      </c>
      <c r="E2459" s="36">
        <v>69133</v>
      </c>
      <c r="F2459" s="36"/>
      <c r="G2459" s="9">
        <f t="shared" si="49"/>
        <v>-3509592</v>
      </c>
    </row>
    <row r="2460" spans="1:7" x14ac:dyDescent="0.2">
      <c r="A2460" s="12">
        <v>45457</v>
      </c>
      <c r="C2460" s="2" t="s">
        <v>1589</v>
      </c>
      <c r="D2460" s="1" t="s">
        <v>9</v>
      </c>
      <c r="E2460" s="36">
        <v>2849087</v>
      </c>
      <c r="F2460" s="36"/>
      <c r="G2460" s="9">
        <f t="shared" si="49"/>
        <v>-660505</v>
      </c>
    </row>
    <row r="2461" spans="1:7" x14ac:dyDescent="0.2">
      <c r="A2461" s="12">
        <v>45457</v>
      </c>
      <c r="C2461" s="2" t="s">
        <v>1590</v>
      </c>
      <c r="D2461" s="1" t="s">
        <v>9</v>
      </c>
      <c r="E2461" s="36">
        <v>754256</v>
      </c>
      <c r="F2461" s="36"/>
      <c r="G2461" s="9">
        <f t="shared" si="49"/>
        <v>93751</v>
      </c>
    </row>
    <row r="2462" spans="1:7" x14ac:dyDescent="0.2">
      <c r="A2462" s="12">
        <v>45457</v>
      </c>
      <c r="C2462" s="2" t="s">
        <v>1591</v>
      </c>
      <c r="D2462" s="1" t="s">
        <v>9</v>
      </c>
      <c r="E2462" s="36">
        <v>385701</v>
      </c>
      <c r="F2462" s="36"/>
      <c r="G2462" s="9">
        <f t="shared" si="49"/>
        <v>479452</v>
      </c>
    </row>
    <row r="2463" spans="1:7" x14ac:dyDescent="0.2">
      <c r="A2463" s="12">
        <v>45457</v>
      </c>
      <c r="C2463" s="2" t="s">
        <v>1602</v>
      </c>
      <c r="D2463" s="1" t="s">
        <v>9</v>
      </c>
      <c r="E2463" s="36">
        <v>69335</v>
      </c>
      <c r="F2463" s="36"/>
      <c r="G2463" s="9">
        <f t="shared" si="49"/>
        <v>548787</v>
      </c>
    </row>
    <row r="2464" spans="1:7" x14ac:dyDescent="0.2">
      <c r="A2464" s="12">
        <v>45457</v>
      </c>
      <c r="C2464" s="2" t="s">
        <v>1603</v>
      </c>
      <c r="D2464" s="1" t="s">
        <v>9</v>
      </c>
      <c r="E2464" s="36">
        <v>99611</v>
      </c>
      <c r="F2464" s="36"/>
      <c r="G2464" s="9">
        <f t="shared" si="49"/>
        <v>648398</v>
      </c>
    </row>
    <row r="2465" spans="1:12" x14ac:dyDescent="0.2">
      <c r="A2465" s="12">
        <v>45461</v>
      </c>
      <c r="C2465" s="2" t="s">
        <v>1607</v>
      </c>
      <c r="E2465" s="36"/>
      <c r="F2465" s="36">
        <v>44100</v>
      </c>
      <c r="G2465" s="9">
        <f t="shared" si="49"/>
        <v>604298</v>
      </c>
    </row>
    <row r="2466" spans="1:12" x14ac:dyDescent="0.2">
      <c r="A2466" s="12">
        <v>45461</v>
      </c>
      <c r="C2466" s="2" t="s">
        <v>1604</v>
      </c>
      <c r="D2466" s="1" t="s">
        <v>9</v>
      </c>
      <c r="E2466" s="36"/>
      <c r="F2466" s="36">
        <v>3243080</v>
      </c>
      <c r="G2466" s="9">
        <f t="shared" si="49"/>
        <v>-2638782</v>
      </c>
    </row>
    <row r="2467" spans="1:12" x14ac:dyDescent="0.2">
      <c r="A2467" s="12">
        <v>45461</v>
      </c>
      <c r="C2467" s="2" t="s">
        <v>1604</v>
      </c>
      <c r="D2467" s="1" t="s">
        <v>9</v>
      </c>
      <c r="E2467" s="36"/>
      <c r="F2467" s="36">
        <v>1577738</v>
      </c>
      <c r="G2467" s="9">
        <f t="shared" si="49"/>
        <v>-4216520</v>
      </c>
    </row>
    <row r="2468" spans="1:12" x14ac:dyDescent="0.2">
      <c r="A2468" s="12">
        <v>45461</v>
      </c>
      <c r="C2468" s="2" t="s">
        <v>1598</v>
      </c>
      <c r="D2468" s="1" t="s">
        <v>9</v>
      </c>
      <c r="E2468" s="36">
        <v>9000000</v>
      </c>
      <c r="F2468" s="36"/>
      <c r="G2468" s="9">
        <f t="shared" si="49"/>
        <v>4783480</v>
      </c>
      <c r="L2468" s="16">
        <v>181047</v>
      </c>
    </row>
    <row r="2469" spans="1:12" x14ac:dyDescent="0.2">
      <c r="A2469" s="12">
        <v>45462</v>
      </c>
      <c r="C2469" s="2" t="s">
        <v>1606</v>
      </c>
      <c r="D2469" s="1" t="s">
        <v>9</v>
      </c>
      <c r="E2469" s="36"/>
      <c r="F2469" s="36">
        <v>6600</v>
      </c>
      <c r="G2469" s="9">
        <f t="shared" si="49"/>
        <v>4776880</v>
      </c>
    </row>
    <row r="2470" spans="1:12" x14ac:dyDescent="0.2">
      <c r="A2470" s="12">
        <v>45462</v>
      </c>
      <c r="C2470" s="2" t="s">
        <v>1605</v>
      </c>
      <c r="D2470" s="1" t="s">
        <v>9</v>
      </c>
      <c r="E2470" s="36"/>
      <c r="F2470" s="36">
        <v>754256</v>
      </c>
      <c r="G2470" s="9">
        <f t="shared" si="49"/>
        <v>4022624</v>
      </c>
    </row>
    <row r="2471" spans="1:12" x14ac:dyDescent="0.2">
      <c r="A2471" s="12">
        <v>45462</v>
      </c>
      <c r="B2471" s="1" t="s">
        <v>1593</v>
      </c>
      <c r="C2471" s="2" t="s">
        <v>1599</v>
      </c>
      <c r="D2471" s="1" t="s">
        <v>9</v>
      </c>
      <c r="E2471" s="36"/>
      <c r="F2471" s="36">
        <v>410100</v>
      </c>
      <c r="G2471" s="9">
        <f t="shared" si="49"/>
        <v>3612524</v>
      </c>
    </row>
    <row r="2472" spans="1:12" x14ac:dyDescent="0.2">
      <c r="A2472" s="12">
        <v>45462</v>
      </c>
      <c r="C2472" s="2" t="s">
        <v>1594</v>
      </c>
      <c r="D2472" s="1" t="s">
        <v>9</v>
      </c>
      <c r="E2472" s="36">
        <v>435880</v>
      </c>
      <c r="F2472" s="36"/>
      <c r="G2472" s="9">
        <f t="shared" si="49"/>
        <v>4048404</v>
      </c>
    </row>
    <row r="2473" spans="1:12" x14ac:dyDescent="0.2">
      <c r="A2473" s="12">
        <v>45463</v>
      </c>
      <c r="C2473" s="2" t="s">
        <v>1595</v>
      </c>
      <c r="D2473" s="1" t="s">
        <v>9</v>
      </c>
      <c r="E2473" s="36">
        <v>209580</v>
      </c>
      <c r="F2473" s="36"/>
      <c r="G2473" s="9">
        <f t="shared" si="49"/>
        <v>4257984</v>
      </c>
    </row>
    <row r="2474" spans="1:12" x14ac:dyDescent="0.2">
      <c r="A2474" s="12">
        <v>45463</v>
      </c>
      <c r="C2474" s="2" t="s">
        <v>1624</v>
      </c>
      <c r="D2474" s="1" t="s">
        <v>9</v>
      </c>
      <c r="E2474" s="36">
        <v>76464</v>
      </c>
      <c r="F2474" s="36"/>
      <c r="G2474" s="9">
        <f t="shared" si="49"/>
        <v>4334448</v>
      </c>
    </row>
    <row r="2475" spans="1:12" x14ac:dyDescent="0.2">
      <c r="A2475" s="12">
        <v>45463</v>
      </c>
      <c r="C2475" s="2" t="s">
        <v>1628</v>
      </c>
      <c r="D2475" s="1" t="s">
        <v>9</v>
      </c>
      <c r="E2475" s="36">
        <v>27834</v>
      </c>
      <c r="F2475" s="36"/>
      <c r="G2475" s="9">
        <f t="shared" si="49"/>
        <v>4362282</v>
      </c>
    </row>
    <row r="2476" spans="1:12" x14ac:dyDescent="0.2">
      <c r="A2476" s="12">
        <v>45463</v>
      </c>
      <c r="C2476" s="2" t="s">
        <v>1625</v>
      </c>
      <c r="D2476" s="1" t="s">
        <v>9</v>
      </c>
      <c r="E2476" s="36">
        <v>302882</v>
      </c>
      <c r="F2476" s="36"/>
      <c r="G2476" s="9">
        <f t="shared" si="49"/>
        <v>4665164</v>
      </c>
    </row>
    <row r="2477" spans="1:12" x14ac:dyDescent="0.2">
      <c r="A2477" s="12">
        <v>45463</v>
      </c>
      <c r="C2477" s="2" t="s">
        <v>1626</v>
      </c>
      <c r="D2477" s="1" t="s">
        <v>9</v>
      </c>
      <c r="E2477" s="36">
        <v>13541</v>
      </c>
      <c r="F2477" s="36"/>
      <c r="G2477" s="9">
        <f t="shared" si="49"/>
        <v>4678705</v>
      </c>
    </row>
    <row r="2478" spans="1:12" x14ac:dyDescent="0.2">
      <c r="A2478" s="12">
        <v>45463</v>
      </c>
      <c r="C2478" s="2" t="s">
        <v>1627</v>
      </c>
      <c r="D2478" s="1" t="s">
        <v>9</v>
      </c>
      <c r="E2478" s="36">
        <v>711112</v>
      </c>
      <c r="F2478" s="36"/>
      <c r="G2478" s="9">
        <f t="shared" si="49"/>
        <v>5389817</v>
      </c>
    </row>
    <row r="2479" spans="1:12" x14ac:dyDescent="0.2">
      <c r="A2479" s="12">
        <v>45463</v>
      </c>
      <c r="B2479" s="51" t="s">
        <v>1600</v>
      </c>
      <c r="C2479" s="15" t="s">
        <v>1670</v>
      </c>
      <c r="D2479" s="14" t="s">
        <v>9</v>
      </c>
      <c r="E2479" s="16"/>
      <c r="F2479" s="16">
        <v>0</v>
      </c>
      <c r="G2479" s="9">
        <f t="shared" si="49"/>
        <v>5389817</v>
      </c>
    </row>
    <row r="2480" spans="1:12" x14ac:dyDescent="0.2">
      <c r="A2480" s="12">
        <v>45464</v>
      </c>
      <c r="B2480" s="25" t="s">
        <v>1601</v>
      </c>
      <c r="C2480" s="2" t="s">
        <v>1587</v>
      </c>
      <c r="D2480" s="1" t="s">
        <v>9</v>
      </c>
      <c r="E2480" s="36"/>
      <c r="F2480" s="36">
        <v>1000000</v>
      </c>
      <c r="G2480" s="9">
        <f t="shared" si="49"/>
        <v>4389817</v>
      </c>
    </row>
    <row r="2481" spans="1:7" x14ac:dyDescent="0.2">
      <c r="A2481" s="12">
        <v>45467</v>
      </c>
      <c r="B2481" s="25"/>
      <c r="C2481" s="2" t="s">
        <v>1608</v>
      </c>
      <c r="D2481" s="1" t="s">
        <v>9</v>
      </c>
      <c r="E2481" s="36"/>
      <c r="F2481" s="36">
        <v>150000</v>
      </c>
      <c r="G2481" s="9">
        <f t="shared" si="49"/>
        <v>4239817</v>
      </c>
    </row>
    <row r="2482" spans="1:7" x14ac:dyDescent="0.2">
      <c r="A2482" s="12">
        <v>45467</v>
      </c>
      <c r="C2482" s="34" t="s">
        <v>1597</v>
      </c>
      <c r="D2482" s="35" t="s">
        <v>9</v>
      </c>
      <c r="E2482" s="36"/>
      <c r="F2482" s="36">
        <f>5273265+129446</f>
        <v>5402711</v>
      </c>
      <c r="G2482" s="9">
        <f t="shared" si="49"/>
        <v>-1162894</v>
      </c>
    </row>
    <row r="2483" spans="1:7" x14ac:dyDescent="0.2">
      <c r="A2483" s="12">
        <v>45467</v>
      </c>
      <c r="C2483" s="34" t="s">
        <v>1596</v>
      </c>
      <c r="D2483" s="35" t="s">
        <v>9</v>
      </c>
      <c r="E2483" s="36"/>
      <c r="F2483" s="36">
        <f>5955138+133113</f>
        <v>6088251</v>
      </c>
      <c r="G2483" s="9">
        <f t="shared" si="49"/>
        <v>-7251145</v>
      </c>
    </row>
    <row r="2484" spans="1:7" x14ac:dyDescent="0.2">
      <c r="A2484" s="12">
        <v>45469</v>
      </c>
      <c r="C2484" s="18" t="s">
        <v>1629</v>
      </c>
      <c r="D2484" s="1" t="s">
        <v>9</v>
      </c>
      <c r="E2484" s="36">
        <v>543958</v>
      </c>
      <c r="F2484" s="36"/>
      <c r="G2484" s="9">
        <f t="shared" si="49"/>
        <v>-6707187</v>
      </c>
    </row>
    <row r="2485" spans="1:7" x14ac:dyDescent="0.2">
      <c r="A2485" s="12">
        <v>45469</v>
      </c>
      <c r="C2485" s="2" t="s">
        <v>807</v>
      </c>
      <c r="D2485" s="1" t="s">
        <v>9</v>
      </c>
      <c r="E2485" s="36">
        <v>39176</v>
      </c>
      <c r="F2485" s="36"/>
      <c r="G2485" s="9">
        <f t="shared" si="49"/>
        <v>-6668011</v>
      </c>
    </row>
    <row r="2486" spans="1:7" x14ac:dyDescent="0.2">
      <c r="A2486" s="12">
        <v>45471</v>
      </c>
      <c r="C2486" s="2" t="s">
        <v>61</v>
      </c>
      <c r="D2486" s="1" t="s">
        <v>9</v>
      </c>
      <c r="E2486" s="36">
        <v>50150</v>
      </c>
      <c r="F2486" s="36"/>
      <c r="G2486" s="9">
        <f t="shared" si="49"/>
        <v>-6617861</v>
      </c>
    </row>
    <row r="2487" spans="1:7" x14ac:dyDescent="0.2">
      <c r="A2487" s="12">
        <v>45471</v>
      </c>
      <c r="C2487" s="2" t="s">
        <v>1622</v>
      </c>
      <c r="D2487" s="1" t="s">
        <v>9</v>
      </c>
      <c r="E2487" s="36">
        <v>1347796</v>
      </c>
      <c r="F2487" s="36"/>
      <c r="G2487" s="9">
        <f t="shared" si="49"/>
        <v>-5270065</v>
      </c>
    </row>
    <row r="2488" spans="1:7" x14ac:dyDescent="0.2">
      <c r="A2488" s="12">
        <v>45471</v>
      </c>
      <c r="C2488" s="2" t="s">
        <v>1618</v>
      </c>
      <c r="D2488" s="1" t="s">
        <v>9</v>
      </c>
      <c r="E2488" s="36">
        <v>88500</v>
      </c>
      <c r="F2488" s="36"/>
      <c r="G2488" s="9">
        <f t="shared" si="49"/>
        <v>-5181565</v>
      </c>
    </row>
    <row r="2489" spans="1:7" x14ac:dyDescent="0.2">
      <c r="A2489" s="12">
        <v>45471</v>
      </c>
      <c r="C2489" s="2" t="s">
        <v>1621</v>
      </c>
      <c r="D2489" s="1" t="s">
        <v>9</v>
      </c>
      <c r="E2489" s="36">
        <v>85255</v>
      </c>
      <c r="F2489" s="36"/>
      <c r="G2489" s="9">
        <f t="shared" si="49"/>
        <v>-5096310</v>
      </c>
    </row>
    <row r="2490" spans="1:7" x14ac:dyDescent="0.2">
      <c r="A2490" s="12">
        <v>45471</v>
      </c>
      <c r="C2490" s="2" t="s">
        <v>1623</v>
      </c>
      <c r="D2490" s="1" t="s">
        <v>9</v>
      </c>
      <c r="E2490" s="36">
        <v>176434</v>
      </c>
      <c r="F2490" s="36"/>
      <c r="G2490" s="9">
        <f t="shared" si="49"/>
        <v>-4919876</v>
      </c>
    </row>
    <row r="2491" spans="1:7" x14ac:dyDescent="0.2">
      <c r="A2491" s="12">
        <v>45471</v>
      </c>
      <c r="C2491" s="2" t="s">
        <v>1619</v>
      </c>
      <c r="D2491" s="1" t="s">
        <v>9</v>
      </c>
      <c r="E2491" s="36">
        <v>103811</v>
      </c>
      <c r="F2491" s="36"/>
      <c r="G2491" s="9">
        <f t="shared" si="49"/>
        <v>-4816065</v>
      </c>
    </row>
    <row r="2492" spans="1:7" x14ac:dyDescent="0.2">
      <c r="A2492" s="12">
        <v>45471</v>
      </c>
      <c r="C2492" s="2" t="s">
        <v>1620</v>
      </c>
      <c r="D2492" s="1" t="s">
        <v>9</v>
      </c>
      <c r="E2492" s="36">
        <v>216596</v>
      </c>
      <c r="F2492" s="36"/>
      <c r="G2492" s="9">
        <f t="shared" si="49"/>
        <v>-4599469</v>
      </c>
    </row>
    <row r="2493" spans="1:7" x14ac:dyDescent="0.2">
      <c r="A2493" s="12">
        <v>45471</v>
      </c>
      <c r="C2493" s="2" t="s">
        <v>1623</v>
      </c>
      <c r="D2493" s="1" t="s">
        <v>9</v>
      </c>
      <c r="E2493" s="36">
        <v>599411</v>
      </c>
      <c r="F2493" s="36"/>
      <c r="G2493" s="9">
        <f t="shared" si="49"/>
        <v>-4000058</v>
      </c>
    </row>
    <row r="2494" spans="1:7" x14ac:dyDescent="0.2">
      <c r="A2494" s="12">
        <v>45471</v>
      </c>
      <c r="C2494" s="2" t="s">
        <v>1616</v>
      </c>
      <c r="D2494" s="1" t="s">
        <v>9</v>
      </c>
      <c r="E2494" s="36">
        <v>216890</v>
      </c>
      <c r="F2494" s="36"/>
      <c r="G2494" s="9">
        <f t="shared" si="49"/>
        <v>-3783168</v>
      </c>
    </row>
    <row r="2495" spans="1:7" x14ac:dyDescent="0.2">
      <c r="A2495" s="12">
        <v>45471</v>
      </c>
      <c r="C2495" s="2" t="s">
        <v>1613</v>
      </c>
      <c r="D2495" s="1" t="s">
        <v>9</v>
      </c>
      <c r="E2495" s="36">
        <v>29660</v>
      </c>
      <c r="F2495" s="36"/>
      <c r="G2495" s="9">
        <f t="shared" si="49"/>
        <v>-3753508</v>
      </c>
    </row>
    <row r="2496" spans="1:7" x14ac:dyDescent="0.2">
      <c r="A2496" s="12">
        <v>45471</v>
      </c>
      <c r="C2496" s="2" t="s">
        <v>1617</v>
      </c>
      <c r="D2496" s="1" t="s">
        <v>9</v>
      </c>
      <c r="E2496" s="36">
        <v>244341</v>
      </c>
      <c r="F2496" s="36"/>
      <c r="G2496" s="9">
        <f t="shared" si="49"/>
        <v>-3509167</v>
      </c>
    </row>
    <row r="2497" spans="1:9" x14ac:dyDescent="0.2">
      <c r="A2497" s="12">
        <v>45471</v>
      </c>
      <c r="C2497" s="2" t="s">
        <v>698</v>
      </c>
      <c r="D2497" s="1" t="s">
        <v>9</v>
      </c>
      <c r="E2497" s="36">
        <v>360320</v>
      </c>
      <c r="F2497" s="36"/>
      <c r="G2497" s="9">
        <f t="shared" si="49"/>
        <v>-3148847</v>
      </c>
    </row>
    <row r="2498" spans="1:9" x14ac:dyDescent="0.2">
      <c r="A2498" s="12">
        <v>45471</v>
      </c>
      <c r="C2498" s="2" t="s">
        <v>1611</v>
      </c>
      <c r="D2498" s="1" t="s">
        <v>9</v>
      </c>
      <c r="E2498" s="36">
        <v>150350</v>
      </c>
      <c r="F2498" s="36"/>
      <c r="G2498" s="9">
        <f t="shared" si="49"/>
        <v>-2998497</v>
      </c>
    </row>
    <row r="2499" spans="1:9" x14ac:dyDescent="0.2">
      <c r="A2499" s="12">
        <v>45471</v>
      </c>
      <c r="C2499" s="2" t="s">
        <v>1611</v>
      </c>
      <c r="D2499" s="1" t="s">
        <v>9</v>
      </c>
      <c r="E2499" s="36">
        <v>226986</v>
      </c>
      <c r="F2499" s="36"/>
      <c r="G2499" s="9">
        <f t="shared" si="49"/>
        <v>-2771511</v>
      </c>
    </row>
    <row r="2500" spans="1:9" x14ac:dyDescent="0.2">
      <c r="A2500" s="12">
        <v>45471</v>
      </c>
      <c r="C2500" s="2" t="s">
        <v>1611</v>
      </c>
      <c r="D2500" s="1" t="s">
        <v>9</v>
      </c>
      <c r="E2500" s="36">
        <v>208123</v>
      </c>
      <c r="F2500" s="36"/>
      <c r="G2500" s="9">
        <f t="shared" si="49"/>
        <v>-2563388</v>
      </c>
    </row>
    <row r="2501" spans="1:9" x14ac:dyDescent="0.2">
      <c r="A2501" s="12">
        <v>45471</v>
      </c>
      <c r="C2501" s="2" t="s">
        <v>1614</v>
      </c>
      <c r="D2501" s="1" t="s">
        <v>9</v>
      </c>
      <c r="E2501" s="36">
        <v>1072856</v>
      </c>
      <c r="F2501" s="36"/>
      <c r="G2501" s="9">
        <f t="shared" si="49"/>
        <v>-1490532</v>
      </c>
    </row>
    <row r="2502" spans="1:9" x14ac:dyDescent="0.2">
      <c r="A2502" s="12">
        <v>45471</v>
      </c>
      <c r="C2502" s="2" t="s">
        <v>1610</v>
      </c>
      <c r="D2502" s="1" t="s">
        <v>9</v>
      </c>
      <c r="E2502" s="36">
        <v>2147323</v>
      </c>
      <c r="F2502" s="36"/>
      <c r="G2502" s="9">
        <f t="shared" si="49"/>
        <v>656791</v>
      </c>
    </row>
    <row r="2503" spans="1:9" x14ac:dyDescent="0.2">
      <c r="A2503" s="12">
        <v>45471</v>
      </c>
      <c r="C2503" s="2" t="s">
        <v>1615</v>
      </c>
      <c r="D2503" s="1" t="s">
        <v>9</v>
      </c>
      <c r="E2503" s="36">
        <v>447598</v>
      </c>
      <c r="F2503" s="36"/>
      <c r="G2503" s="9">
        <f t="shared" si="49"/>
        <v>1104389</v>
      </c>
    </row>
    <row r="2504" spans="1:9" x14ac:dyDescent="0.2">
      <c r="A2504" s="12">
        <v>45471</v>
      </c>
      <c r="C2504" s="2" t="s">
        <v>1612</v>
      </c>
      <c r="D2504" s="1" t="s">
        <v>9</v>
      </c>
      <c r="E2504" s="36">
        <v>82217</v>
      </c>
      <c r="F2504" s="36"/>
      <c r="G2504" s="9">
        <f t="shared" si="49"/>
        <v>1186606</v>
      </c>
    </row>
    <row r="2505" spans="1:9" x14ac:dyDescent="0.2">
      <c r="A2505" s="12">
        <v>45471</v>
      </c>
      <c r="C2505" s="2" t="s">
        <v>1613</v>
      </c>
      <c r="D2505" s="1" t="s">
        <v>9</v>
      </c>
      <c r="E2505" s="36">
        <v>8402</v>
      </c>
      <c r="F2505" s="36"/>
      <c r="G2505" s="9">
        <f t="shared" si="49"/>
        <v>1195008</v>
      </c>
    </row>
    <row r="2506" spans="1:9" x14ac:dyDescent="0.2">
      <c r="A2506" s="12">
        <v>45471</v>
      </c>
      <c r="C2506" s="2" t="s">
        <v>1556</v>
      </c>
      <c r="D2506" s="1" t="s">
        <v>9</v>
      </c>
      <c r="E2506" s="36">
        <v>599912</v>
      </c>
      <c r="F2506" s="36"/>
      <c r="G2506" s="9">
        <f t="shared" si="49"/>
        <v>1794920</v>
      </c>
    </row>
    <row r="2507" spans="1:9" x14ac:dyDescent="0.2">
      <c r="A2507" s="12">
        <v>45473</v>
      </c>
      <c r="C2507" s="2" t="s">
        <v>1609</v>
      </c>
      <c r="D2507" s="1" t="s">
        <v>9</v>
      </c>
      <c r="E2507" s="36"/>
      <c r="F2507" s="36">
        <v>59154</v>
      </c>
      <c r="G2507" s="9">
        <f t="shared" si="49"/>
        <v>1735766</v>
      </c>
    </row>
    <row r="2508" spans="1:9" ht="15.75" x14ac:dyDescent="0.25">
      <c r="A2508" s="10" t="s">
        <v>1630</v>
      </c>
      <c r="E2508" s="36"/>
      <c r="F2508" s="36"/>
      <c r="G2508" s="9">
        <f t="shared" si="49"/>
        <v>1735766</v>
      </c>
    </row>
    <row r="2509" spans="1:9" x14ac:dyDescent="0.2">
      <c r="A2509" s="12">
        <v>45474</v>
      </c>
      <c r="C2509" s="18" t="s">
        <v>1631</v>
      </c>
      <c r="D2509" s="1" t="s">
        <v>9</v>
      </c>
      <c r="E2509" s="36"/>
      <c r="F2509" s="36">
        <v>3100806</v>
      </c>
      <c r="G2509" s="9">
        <f t="shared" si="49"/>
        <v>-1365040</v>
      </c>
      <c r="I2509" s="9">
        <v>16267533</v>
      </c>
    </row>
    <row r="2510" spans="1:9" x14ac:dyDescent="0.2">
      <c r="A2510" s="12">
        <v>45474</v>
      </c>
      <c r="C2510" s="18" t="s">
        <v>1646</v>
      </c>
      <c r="D2510" s="1" t="s">
        <v>9</v>
      </c>
      <c r="E2510" s="36"/>
      <c r="F2510" s="36">
        <v>138</v>
      </c>
      <c r="G2510" s="9">
        <f t="shared" si="49"/>
        <v>-1365178</v>
      </c>
      <c r="I2510" s="9">
        <f>+I2509+L2468-(F2456+F2457+F2479+F2482+F2483)</f>
        <v>1768402</v>
      </c>
    </row>
    <row r="2511" spans="1:9" x14ac:dyDescent="0.2">
      <c r="A2511" s="12">
        <v>45474</v>
      </c>
      <c r="C2511" s="2" t="s">
        <v>1632</v>
      </c>
      <c r="D2511" s="1" t="s">
        <v>9</v>
      </c>
      <c r="E2511" s="36"/>
      <c r="F2511" s="36">
        <v>1000000</v>
      </c>
      <c r="G2511" s="9">
        <f t="shared" si="49"/>
        <v>-2365178</v>
      </c>
      <c r="I2511" s="9">
        <f>G2510-I2510</f>
        <v>-3133580</v>
      </c>
    </row>
    <row r="2512" spans="1:9" x14ac:dyDescent="0.2">
      <c r="A2512" s="12">
        <v>45475</v>
      </c>
      <c r="C2512" s="2" t="s">
        <v>1645</v>
      </c>
      <c r="D2512" s="1" t="s">
        <v>9</v>
      </c>
      <c r="E2512" s="36"/>
      <c r="F2512" s="36">
        <v>138</v>
      </c>
      <c r="G2512" s="9">
        <f t="shared" si="49"/>
        <v>-2365316</v>
      </c>
    </row>
    <row r="2513" spans="1:7" x14ac:dyDescent="0.2">
      <c r="A2513" s="12">
        <v>45475</v>
      </c>
      <c r="B2513" s="25" t="s">
        <v>1647</v>
      </c>
      <c r="C2513" s="2" t="s">
        <v>1604</v>
      </c>
      <c r="D2513" s="1" t="s">
        <v>9</v>
      </c>
      <c r="E2513" s="36"/>
      <c r="F2513" s="36">
        <v>1482523</v>
      </c>
      <c r="G2513" s="9">
        <f t="shared" si="49"/>
        <v>-3847839</v>
      </c>
    </row>
    <row r="2514" spans="1:7" x14ac:dyDescent="0.2">
      <c r="A2514" s="12">
        <v>45475</v>
      </c>
      <c r="C2514" s="2" t="s">
        <v>61</v>
      </c>
      <c r="D2514" s="1" t="s">
        <v>9</v>
      </c>
      <c r="E2514" s="36">
        <v>805882</v>
      </c>
      <c r="F2514" s="36"/>
      <c r="G2514" s="9">
        <f t="shared" si="49"/>
        <v>-3041957</v>
      </c>
    </row>
    <row r="2515" spans="1:7" x14ac:dyDescent="0.2">
      <c r="A2515" s="12">
        <v>45477</v>
      </c>
      <c r="C2515" s="2" t="s">
        <v>1639</v>
      </c>
      <c r="D2515" s="1" t="s">
        <v>9</v>
      </c>
      <c r="E2515" s="36">
        <v>103899</v>
      </c>
      <c r="F2515" s="36"/>
      <c r="G2515" s="9">
        <f t="shared" si="49"/>
        <v>-2938058</v>
      </c>
    </row>
    <row r="2516" spans="1:7" x14ac:dyDescent="0.2">
      <c r="A2516" s="12">
        <v>45477</v>
      </c>
      <c r="C2516" s="2" t="s">
        <v>1635</v>
      </c>
      <c r="D2516" s="1" t="s">
        <v>9</v>
      </c>
      <c r="E2516" s="36">
        <v>112430</v>
      </c>
      <c r="F2516" s="36"/>
      <c r="G2516" s="9">
        <f t="shared" ref="G2516:G2579" si="50">G2515+E2516-F2516</f>
        <v>-2825628</v>
      </c>
    </row>
    <row r="2517" spans="1:7" x14ac:dyDescent="0.2">
      <c r="A2517" s="12">
        <v>45477</v>
      </c>
      <c r="C2517" s="2" t="s">
        <v>1644</v>
      </c>
      <c r="D2517" s="1" t="s">
        <v>9</v>
      </c>
      <c r="E2517" s="36">
        <v>116238</v>
      </c>
      <c r="F2517" s="36"/>
      <c r="G2517" s="9">
        <f t="shared" si="50"/>
        <v>-2709390</v>
      </c>
    </row>
    <row r="2518" spans="1:7" x14ac:dyDescent="0.2">
      <c r="A2518" s="12">
        <v>45477</v>
      </c>
      <c r="C2518" s="2" t="s">
        <v>1643</v>
      </c>
      <c r="D2518" s="1" t="s">
        <v>9</v>
      </c>
      <c r="E2518" s="36">
        <v>179596</v>
      </c>
      <c r="F2518" s="36"/>
      <c r="G2518" s="9">
        <f t="shared" si="50"/>
        <v>-2529794</v>
      </c>
    </row>
    <row r="2519" spans="1:7" x14ac:dyDescent="0.2">
      <c r="A2519" s="12">
        <v>45477</v>
      </c>
      <c r="C2519" s="2" t="s">
        <v>1642</v>
      </c>
      <c r="D2519" s="1" t="s">
        <v>9</v>
      </c>
      <c r="E2519" s="36">
        <v>160480</v>
      </c>
      <c r="F2519" s="36"/>
      <c r="G2519" s="9">
        <f t="shared" si="50"/>
        <v>-2369314</v>
      </c>
    </row>
    <row r="2520" spans="1:7" x14ac:dyDescent="0.2">
      <c r="A2520" s="12">
        <v>45477</v>
      </c>
      <c r="C2520" s="2" t="s">
        <v>1641</v>
      </c>
      <c r="D2520" s="1" t="s">
        <v>9</v>
      </c>
      <c r="E2520" s="36">
        <v>369576</v>
      </c>
      <c r="F2520" s="36"/>
      <c r="G2520" s="9">
        <f t="shared" si="50"/>
        <v>-1999738</v>
      </c>
    </row>
    <row r="2521" spans="1:7" x14ac:dyDescent="0.2">
      <c r="A2521" s="12">
        <v>45477</v>
      </c>
      <c r="C2521" s="2" t="s">
        <v>1638</v>
      </c>
      <c r="D2521" s="1" t="s">
        <v>9</v>
      </c>
      <c r="E2521" s="36">
        <v>80019</v>
      </c>
      <c r="F2521" s="36"/>
      <c r="G2521" s="9">
        <f t="shared" si="50"/>
        <v>-1919719</v>
      </c>
    </row>
    <row r="2522" spans="1:7" x14ac:dyDescent="0.2">
      <c r="A2522" s="12">
        <v>45477</v>
      </c>
      <c r="C2522" s="2" t="s">
        <v>1637</v>
      </c>
      <c r="D2522" s="1" t="s">
        <v>9</v>
      </c>
      <c r="E2522" s="36">
        <v>253137</v>
      </c>
      <c r="F2522" s="36"/>
      <c r="G2522" s="9">
        <f t="shared" si="50"/>
        <v>-1666582</v>
      </c>
    </row>
    <row r="2523" spans="1:7" x14ac:dyDescent="0.2">
      <c r="A2523" s="12">
        <v>45477</v>
      </c>
      <c r="C2523" s="2" t="s">
        <v>1636</v>
      </c>
      <c r="D2523" s="1" t="s">
        <v>9</v>
      </c>
      <c r="E2523" s="36">
        <v>170196</v>
      </c>
      <c r="F2523" s="36"/>
      <c r="G2523" s="9">
        <f t="shared" si="50"/>
        <v>-1496386</v>
      </c>
    </row>
    <row r="2524" spans="1:7" x14ac:dyDescent="0.2">
      <c r="A2524" s="12">
        <v>45477</v>
      </c>
      <c r="C2524" s="2" t="s">
        <v>1640</v>
      </c>
      <c r="D2524" s="1" t="s">
        <v>9</v>
      </c>
      <c r="E2524" s="36">
        <v>88557</v>
      </c>
      <c r="F2524" s="36"/>
      <c r="G2524" s="9">
        <f t="shared" si="50"/>
        <v>-1407829</v>
      </c>
    </row>
    <row r="2525" spans="1:7" x14ac:dyDescent="0.2">
      <c r="A2525" s="12">
        <v>45477</v>
      </c>
      <c r="C2525" s="2" t="s">
        <v>1579</v>
      </c>
      <c r="D2525" s="1" t="s">
        <v>9</v>
      </c>
      <c r="E2525" s="36">
        <v>589215</v>
      </c>
      <c r="F2525" s="36"/>
      <c r="G2525" s="9">
        <f t="shared" si="50"/>
        <v>-818614</v>
      </c>
    </row>
    <row r="2526" spans="1:7" x14ac:dyDescent="0.2">
      <c r="A2526" s="12">
        <v>45477</v>
      </c>
      <c r="C2526" s="2" t="s">
        <v>1634</v>
      </c>
      <c r="D2526" s="1" t="s">
        <v>9</v>
      </c>
      <c r="E2526" s="36">
        <v>20579</v>
      </c>
      <c r="F2526" s="36"/>
      <c r="G2526" s="9">
        <f t="shared" si="50"/>
        <v>-798035</v>
      </c>
    </row>
    <row r="2527" spans="1:7" x14ac:dyDescent="0.2">
      <c r="A2527" s="12">
        <v>45477</v>
      </c>
      <c r="C2527" s="2" t="s">
        <v>1633</v>
      </c>
      <c r="D2527" s="1" t="s">
        <v>9</v>
      </c>
      <c r="E2527" s="36">
        <v>754256</v>
      </c>
      <c r="F2527" s="36"/>
      <c r="G2527" s="9">
        <f t="shared" si="50"/>
        <v>-43779</v>
      </c>
    </row>
    <row r="2528" spans="1:7" x14ac:dyDescent="0.2">
      <c r="A2528" s="12">
        <v>45477</v>
      </c>
      <c r="C2528" s="2" t="s">
        <v>1633</v>
      </c>
      <c r="D2528" s="1" t="s">
        <v>9</v>
      </c>
      <c r="E2528" s="36">
        <v>99120</v>
      </c>
      <c r="F2528" s="36"/>
      <c r="G2528" s="9">
        <f t="shared" si="50"/>
        <v>55341</v>
      </c>
    </row>
    <row r="2529" spans="1:7" x14ac:dyDescent="0.2">
      <c r="A2529" s="12">
        <v>45477</v>
      </c>
      <c r="C2529" s="34" t="s">
        <v>84</v>
      </c>
      <c r="D2529" s="35" t="s">
        <v>9</v>
      </c>
      <c r="E2529" s="36"/>
      <c r="F2529" s="36">
        <v>487589</v>
      </c>
      <c r="G2529" s="9">
        <f t="shared" si="50"/>
        <v>-432248</v>
      </c>
    </row>
    <row r="2530" spans="1:7" x14ac:dyDescent="0.2">
      <c r="A2530" s="12">
        <v>45477</v>
      </c>
      <c r="C2530" s="2" t="s">
        <v>1668</v>
      </c>
      <c r="D2530" s="1" t="s">
        <v>9</v>
      </c>
      <c r="E2530" s="36"/>
      <c r="F2530" s="36">
        <v>29800</v>
      </c>
      <c r="G2530" s="9">
        <f t="shared" si="50"/>
        <v>-462048</v>
      </c>
    </row>
    <row r="2531" spans="1:7" x14ac:dyDescent="0.2">
      <c r="A2531" s="12">
        <v>45478</v>
      </c>
      <c r="C2531" s="2" t="s">
        <v>1576</v>
      </c>
      <c r="D2531" s="1" t="s">
        <v>9</v>
      </c>
      <c r="E2531" s="36">
        <v>1523897</v>
      </c>
      <c r="F2531" s="36"/>
      <c r="G2531" s="9">
        <f t="shared" si="50"/>
        <v>1061849</v>
      </c>
    </row>
    <row r="2532" spans="1:7" x14ac:dyDescent="0.2">
      <c r="A2532" s="12">
        <v>45478</v>
      </c>
      <c r="C2532" s="2" t="s">
        <v>1655</v>
      </c>
      <c r="D2532" s="1" t="s">
        <v>9</v>
      </c>
      <c r="E2532" s="36">
        <v>1224</v>
      </c>
      <c r="F2532" s="36"/>
      <c r="G2532" s="9">
        <f t="shared" si="50"/>
        <v>1063073</v>
      </c>
    </row>
    <row r="2533" spans="1:7" x14ac:dyDescent="0.2">
      <c r="A2533" s="12">
        <v>45482</v>
      </c>
      <c r="B2533" s="25" t="s">
        <v>1656</v>
      </c>
      <c r="C2533" s="2" t="s">
        <v>1648</v>
      </c>
      <c r="D2533" s="1" t="s">
        <v>9</v>
      </c>
      <c r="E2533" s="36"/>
      <c r="F2533" s="36">
        <v>935000</v>
      </c>
      <c r="G2533" s="9">
        <f t="shared" si="50"/>
        <v>128073</v>
      </c>
    </row>
    <row r="2534" spans="1:7" x14ac:dyDescent="0.2">
      <c r="A2534" s="12">
        <v>45482</v>
      </c>
      <c r="C2534" s="2" t="s">
        <v>1651</v>
      </c>
      <c r="D2534" s="1" t="s">
        <v>9</v>
      </c>
      <c r="E2534" s="36">
        <v>1978697</v>
      </c>
      <c r="F2534" s="36"/>
      <c r="G2534" s="9">
        <f t="shared" si="50"/>
        <v>2106770</v>
      </c>
    </row>
    <row r="2535" spans="1:7" x14ac:dyDescent="0.2">
      <c r="A2535" s="12">
        <v>45482</v>
      </c>
      <c r="C2535" s="2" t="s">
        <v>1652</v>
      </c>
      <c r="D2535" s="1" t="s">
        <v>9</v>
      </c>
      <c r="E2535" s="36">
        <v>117502</v>
      </c>
      <c r="F2535" s="36"/>
      <c r="G2535" s="9">
        <f t="shared" si="50"/>
        <v>2224272</v>
      </c>
    </row>
    <row r="2536" spans="1:7" x14ac:dyDescent="0.2">
      <c r="A2536" s="12">
        <v>45482</v>
      </c>
      <c r="B2536" s="35"/>
      <c r="C2536" s="2" t="s">
        <v>1653</v>
      </c>
      <c r="D2536" s="1" t="s">
        <v>9</v>
      </c>
      <c r="E2536" s="36">
        <v>92827</v>
      </c>
      <c r="F2536" s="36"/>
      <c r="G2536" s="9">
        <f t="shared" si="50"/>
        <v>2317099</v>
      </c>
    </row>
    <row r="2537" spans="1:7" x14ac:dyDescent="0.2">
      <c r="A2537" s="12">
        <v>45482</v>
      </c>
      <c r="C2537" s="2" t="s">
        <v>1654</v>
      </c>
      <c r="D2537" s="1" t="s">
        <v>9</v>
      </c>
      <c r="E2537" s="36">
        <v>206117</v>
      </c>
      <c r="F2537" s="36"/>
      <c r="G2537" s="9">
        <f t="shared" si="50"/>
        <v>2523216</v>
      </c>
    </row>
    <row r="2538" spans="1:7" x14ac:dyDescent="0.2">
      <c r="A2538" s="12">
        <v>45482</v>
      </c>
      <c r="B2538" s="51" t="s">
        <v>1657</v>
      </c>
      <c r="C2538" s="19" t="s">
        <v>1658</v>
      </c>
      <c r="D2538" s="14"/>
      <c r="E2538" s="16"/>
      <c r="F2538" s="16">
        <v>165000</v>
      </c>
      <c r="G2538" s="9">
        <f t="shared" si="50"/>
        <v>2358216</v>
      </c>
    </row>
    <row r="2539" spans="1:7" x14ac:dyDescent="0.2">
      <c r="A2539" s="12">
        <v>45482</v>
      </c>
      <c r="B2539" s="51" t="s">
        <v>1659</v>
      </c>
      <c r="C2539" s="15" t="s">
        <v>1660</v>
      </c>
      <c r="D2539" s="14"/>
      <c r="E2539" s="16"/>
      <c r="F2539" s="16">
        <v>395060</v>
      </c>
      <c r="G2539" s="9">
        <f t="shared" si="50"/>
        <v>1963156</v>
      </c>
    </row>
    <row r="2540" spans="1:7" x14ac:dyDescent="0.2">
      <c r="A2540" s="12">
        <v>45482</v>
      </c>
      <c r="C2540" s="34" t="s">
        <v>1629</v>
      </c>
      <c r="D2540" s="1" t="s">
        <v>9</v>
      </c>
      <c r="E2540" s="36">
        <v>189763</v>
      </c>
      <c r="F2540" s="36"/>
      <c r="G2540" s="9">
        <f t="shared" si="50"/>
        <v>2152919</v>
      </c>
    </row>
    <row r="2541" spans="1:7" x14ac:dyDescent="0.2">
      <c r="A2541" s="12">
        <v>45484</v>
      </c>
      <c r="B2541" s="25"/>
      <c r="C2541" s="34" t="s">
        <v>1665</v>
      </c>
      <c r="D2541" s="1" t="s">
        <v>9</v>
      </c>
      <c r="E2541" s="36">
        <v>3636978</v>
      </c>
      <c r="F2541" s="36"/>
      <c r="G2541" s="9">
        <f t="shared" si="50"/>
        <v>5789897</v>
      </c>
    </row>
    <row r="2542" spans="1:7" x14ac:dyDescent="0.2">
      <c r="A2542" s="12">
        <v>45484</v>
      </c>
      <c r="C2542" s="2" t="s">
        <v>1666</v>
      </c>
      <c r="D2542" s="1" t="s">
        <v>9</v>
      </c>
      <c r="E2542" s="36">
        <v>459174</v>
      </c>
      <c r="F2542" s="36"/>
      <c r="G2542" s="9">
        <f t="shared" si="50"/>
        <v>6249071</v>
      </c>
    </row>
    <row r="2543" spans="1:7" x14ac:dyDescent="0.2">
      <c r="A2543" s="12">
        <v>45484</v>
      </c>
      <c r="B2543" s="35"/>
      <c r="C2543" s="34" t="s">
        <v>1633</v>
      </c>
      <c r="D2543" s="1" t="s">
        <v>9</v>
      </c>
      <c r="E2543" s="36">
        <v>924653</v>
      </c>
      <c r="F2543" s="36"/>
      <c r="G2543" s="9">
        <f t="shared" si="50"/>
        <v>7173724</v>
      </c>
    </row>
    <row r="2544" spans="1:7" x14ac:dyDescent="0.2">
      <c r="A2544" s="12">
        <v>45484</v>
      </c>
      <c r="B2544" s="45"/>
      <c r="C2544" s="34" t="s">
        <v>1602</v>
      </c>
      <c r="D2544" s="1" t="s">
        <v>9</v>
      </c>
      <c r="E2544" s="36">
        <v>13807180</v>
      </c>
      <c r="F2544" s="36"/>
      <c r="G2544" s="9">
        <f t="shared" si="50"/>
        <v>20980904</v>
      </c>
    </row>
    <row r="2545" spans="1:7" x14ac:dyDescent="0.2">
      <c r="A2545" s="12">
        <v>45484</v>
      </c>
      <c r="B2545" s="45"/>
      <c r="C2545" s="34" t="s">
        <v>1602</v>
      </c>
      <c r="D2545" s="1" t="s">
        <v>9</v>
      </c>
      <c r="E2545" s="36">
        <v>134573</v>
      </c>
      <c r="F2545" s="36"/>
      <c r="G2545" s="9">
        <f t="shared" si="50"/>
        <v>21115477</v>
      </c>
    </row>
    <row r="2546" spans="1:7" x14ac:dyDescent="0.2">
      <c r="A2546" s="12">
        <v>45484</v>
      </c>
      <c r="B2546" s="35"/>
      <c r="C2546" s="34" t="s">
        <v>1602</v>
      </c>
      <c r="D2546" s="1" t="s">
        <v>9</v>
      </c>
      <c r="E2546" s="36">
        <v>191072</v>
      </c>
      <c r="F2546" s="36"/>
      <c r="G2546" s="9">
        <f t="shared" si="50"/>
        <v>21306549</v>
      </c>
    </row>
    <row r="2547" spans="1:7" x14ac:dyDescent="0.2">
      <c r="A2547" s="12">
        <v>45484</v>
      </c>
      <c r="B2547" s="35"/>
      <c r="C2547" s="34" t="s">
        <v>1602</v>
      </c>
      <c r="D2547" s="1" t="s">
        <v>9</v>
      </c>
      <c r="E2547" s="36">
        <v>373055</v>
      </c>
      <c r="F2547" s="36"/>
      <c r="G2547" s="9">
        <f t="shared" si="50"/>
        <v>21679604</v>
      </c>
    </row>
    <row r="2548" spans="1:7" x14ac:dyDescent="0.2">
      <c r="A2548" s="12">
        <v>45484</v>
      </c>
      <c r="B2548" s="35"/>
      <c r="C2548" s="34" t="s">
        <v>1602</v>
      </c>
      <c r="D2548" s="1" t="s">
        <v>9</v>
      </c>
      <c r="E2548" s="36">
        <v>3042895</v>
      </c>
      <c r="F2548" s="36"/>
      <c r="G2548" s="9">
        <f t="shared" si="50"/>
        <v>24722499</v>
      </c>
    </row>
    <row r="2549" spans="1:7" x14ac:dyDescent="0.2">
      <c r="A2549" s="12">
        <v>45484</v>
      </c>
      <c r="C2549" s="2" t="s">
        <v>1667</v>
      </c>
      <c r="D2549" s="1" t="s">
        <v>9</v>
      </c>
      <c r="E2549" s="36">
        <v>371612</v>
      </c>
      <c r="F2549" s="36"/>
      <c r="G2549" s="9">
        <f t="shared" si="50"/>
        <v>25094111</v>
      </c>
    </row>
    <row r="2550" spans="1:7" x14ac:dyDescent="0.2">
      <c r="A2550" s="12">
        <v>45484</v>
      </c>
      <c r="C2550" s="2" t="s">
        <v>1566</v>
      </c>
      <c r="D2550" s="1" t="s">
        <v>9</v>
      </c>
      <c r="E2550" s="36">
        <v>76641</v>
      </c>
      <c r="F2550" s="36"/>
      <c r="G2550" s="9">
        <f t="shared" si="50"/>
        <v>25170752</v>
      </c>
    </row>
    <row r="2551" spans="1:7" x14ac:dyDescent="0.2">
      <c r="A2551" s="12">
        <v>45484</v>
      </c>
      <c r="B2551" s="51" t="s">
        <v>1662</v>
      </c>
      <c r="C2551" s="15" t="s">
        <v>1661</v>
      </c>
      <c r="D2551" s="14"/>
      <c r="E2551" s="16"/>
      <c r="F2551" s="16">
        <v>5000000</v>
      </c>
      <c r="G2551" s="9">
        <f t="shared" si="50"/>
        <v>20170752</v>
      </c>
    </row>
    <row r="2552" spans="1:7" x14ac:dyDescent="0.2">
      <c r="A2552" s="12">
        <v>45484</v>
      </c>
      <c r="B2552" s="45" t="s">
        <v>1663</v>
      </c>
      <c r="C2552" s="34" t="s">
        <v>1664</v>
      </c>
      <c r="D2552" s="35" t="s">
        <v>9</v>
      </c>
      <c r="E2552" s="36"/>
      <c r="F2552" s="36">
        <v>5000000</v>
      </c>
      <c r="G2552" s="9">
        <f t="shared" si="50"/>
        <v>15170752</v>
      </c>
    </row>
    <row r="2553" spans="1:7" x14ac:dyDescent="0.2">
      <c r="A2553" s="12">
        <v>45484</v>
      </c>
      <c r="B2553" s="35"/>
      <c r="C2553" s="34" t="s">
        <v>1649</v>
      </c>
      <c r="D2553" s="35" t="s">
        <v>9</v>
      </c>
      <c r="E2553" s="36"/>
      <c r="F2553" s="36">
        <v>1616559</v>
      </c>
      <c r="G2553" s="9">
        <f t="shared" si="50"/>
        <v>13554193</v>
      </c>
    </row>
    <row r="2554" spans="1:7" x14ac:dyDescent="0.2">
      <c r="A2554" s="37">
        <v>45485</v>
      </c>
      <c r="B2554" s="14"/>
      <c r="C2554" s="15" t="s">
        <v>1596</v>
      </c>
      <c r="D2554" s="14"/>
      <c r="E2554" s="16"/>
      <c r="F2554" s="16">
        <v>2101902</v>
      </c>
      <c r="G2554" s="9">
        <f t="shared" si="50"/>
        <v>11452291</v>
      </c>
    </row>
    <row r="2555" spans="1:7" x14ac:dyDescent="0.2">
      <c r="A2555" s="12">
        <v>45485</v>
      </c>
      <c r="B2555" s="14"/>
      <c r="C2555" s="15" t="s">
        <v>1650</v>
      </c>
      <c r="D2555" s="14"/>
      <c r="E2555" s="16"/>
      <c r="F2555" s="16">
        <v>2901072</v>
      </c>
      <c r="G2555" s="9">
        <f t="shared" si="50"/>
        <v>8551219</v>
      </c>
    </row>
    <row r="2556" spans="1:7" x14ac:dyDescent="0.2">
      <c r="A2556" s="12">
        <v>45485</v>
      </c>
      <c r="B2556" s="14"/>
      <c r="C2556" s="19" t="s">
        <v>1669</v>
      </c>
      <c r="D2556" s="14"/>
      <c r="E2556" s="16"/>
      <c r="F2556" s="16">
        <v>5143214</v>
      </c>
      <c r="G2556" s="9">
        <f t="shared" si="50"/>
        <v>3408005</v>
      </c>
    </row>
    <row r="2557" spans="1:7" x14ac:dyDescent="0.2">
      <c r="A2557" s="12">
        <v>45485</v>
      </c>
      <c r="C2557" s="2" t="s">
        <v>555</v>
      </c>
      <c r="D2557" s="1" t="s">
        <v>9</v>
      </c>
      <c r="E2557" s="36">
        <v>49560</v>
      </c>
      <c r="F2557" s="36"/>
      <c r="G2557" s="9">
        <f t="shared" si="50"/>
        <v>3457565</v>
      </c>
    </row>
    <row r="2558" spans="1:7" x14ac:dyDescent="0.2">
      <c r="A2558" s="12">
        <v>45488</v>
      </c>
      <c r="C2558" s="2" t="s">
        <v>1675</v>
      </c>
      <c r="D2558" s="1" t="s">
        <v>9</v>
      </c>
      <c r="E2558" s="36">
        <v>515101</v>
      </c>
      <c r="F2558" s="36"/>
      <c r="G2558" s="9">
        <f t="shared" si="50"/>
        <v>3972666</v>
      </c>
    </row>
    <row r="2559" spans="1:7" x14ac:dyDescent="0.2">
      <c r="A2559" s="12">
        <v>45488</v>
      </c>
      <c r="C2559" s="2" t="s">
        <v>698</v>
      </c>
      <c r="D2559" s="1" t="s">
        <v>9</v>
      </c>
      <c r="E2559" s="36">
        <v>113600</v>
      </c>
      <c r="F2559" s="36"/>
      <c r="G2559" s="9">
        <f t="shared" si="50"/>
        <v>4086266</v>
      </c>
    </row>
    <row r="2560" spans="1:7" x14ac:dyDescent="0.2">
      <c r="A2560" s="12">
        <v>45488</v>
      </c>
      <c r="C2560" s="2" t="s">
        <v>1636</v>
      </c>
      <c r="D2560" s="1" t="s">
        <v>9</v>
      </c>
      <c r="E2560" s="36">
        <v>3007584</v>
      </c>
      <c r="G2560" s="9">
        <f t="shared" si="50"/>
        <v>7093850</v>
      </c>
    </row>
    <row r="2561" spans="1:7" x14ac:dyDescent="0.2">
      <c r="A2561" s="12">
        <v>45488</v>
      </c>
      <c r="C2561" s="2" t="s">
        <v>1636</v>
      </c>
      <c r="D2561" s="1" t="s">
        <v>9</v>
      </c>
      <c r="E2561" s="36">
        <v>22302</v>
      </c>
      <c r="G2561" s="9">
        <f t="shared" si="50"/>
        <v>7116152</v>
      </c>
    </row>
    <row r="2562" spans="1:7" x14ac:dyDescent="0.2">
      <c r="A2562" s="12">
        <v>45488</v>
      </c>
      <c r="C2562" s="2" t="s">
        <v>1636</v>
      </c>
      <c r="D2562" s="1" t="s">
        <v>9</v>
      </c>
      <c r="E2562" s="36">
        <v>221905</v>
      </c>
      <c r="G2562" s="9">
        <f t="shared" si="50"/>
        <v>7338057</v>
      </c>
    </row>
    <row r="2563" spans="1:7" x14ac:dyDescent="0.2">
      <c r="A2563" s="12">
        <v>45488</v>
      </c>
      <c r="C2563" s="2" t="s">
        <v>1636</v>
      </c>
      <c r="D2563" s="1" t="s">
        <v>9</v>
      </c>
      <c r="E2563" s="3">
        <v>33984</v>
      </c>
      <c r="G2563" s="9">
        <f t="shared" si="50"/>
        <v>7372041</v>
      </c>
    </row>
    <row r="2564" spans="1:7" x14ac:dyDescent="0.2">
      <c r="A2564" s="12">
        <v>45488</v>
      </c>
      <c r="C2564" s="2" t="s">
        <v>1671</v>
      </c>
      <c r="D2564" s="1" t="s">
        <v>9</v>
      </c>
      <c r="E2564" s="3">
        <v>87763</v>
      </c>
      <c r="G2564" s="9">
        <f t="shared" si="50"/>
        <v>7459804</v>
      </c>
    </row>
    <row r="2565" spans="1:7" x14ac:dyDescent="0.2">
      <c r="A2565" s="12">
        <v>45488</v>
      </c>
      <c r="C2565" s="2" t="s">
        <v>1672</v>
      </c>
      <c r="D2565" s="1" t="s">
        <v>9</v>
      </c>
      <c r="E2565" s="3">
        <v>39955</v>
      </c>
      <c r="G2565" s="9">
        <f t="shared" si="50"/>
        <v>7499759</v>
      </c>
    </row>
    <row r="2566" spans="1:7" x14ac:dyDescent="0.2">
      <c r="A2566" s="12">
        <v>45488</v>
      </c>
      <c r="B2566" s="35"/>
      <c r="C2566" s="2" t="s">
        <v>1672</v>
      </c>
      <c r="D2566" s="1" t="s">
        <v>9</v>
      </c>
      <c r="E2566" s="3">
        <v>35226</v>
      </c>
      <c r="F2566" s="36"/>
      <c r="G2566" s="9">
        <f t="shared" si="50"/>
        <v>7534985</v>
      </c>
    </row>
    <row r="2567" spans="1:7" x14ac:dyDescent="0.2">
      <c r="A2567" s="12">
        <v>45488</v>
      </c>
      <c r="B2567" s="45"/>
      <c r="C2567" s="2" t="s">
        <v>1673</v>
      </c>
      <c r="D2567" s="1" t="s">
        <v>9</v>
      </c>
      <c r="E2567" s="3">
        <v>169929</v>
      </c>
      <c r="F2567" s="36"/>
      <c r="G2567" s="9">
        <f t="shared" si="50"/>
        <v>7704914</v>
      </c>
    </row>
    <row r="2568" spans="1:7" x14ac:dyDescent="0.2">
      <c r="A2568" s="12">
        <v>45488</v>
      </c>
      <c r="B2568" s="45"/>
      <c r="C2568" s="2" t="s">
        <v>1674</v>
      </c>
      <c r="D2568" s="1" t="s">
        <v>9</v>
      </c>
      <c r="E2568" s="3">
        <v>241783</v>
      </c>
      <c r="F2568" s="36"/>
      <c r="G2568" s="9">
        <f t="shared" si="50"/>
        <v>7946697</v>
      </c>
    </row>
    <row r="2569" spans="1:7" x14ac:dyDescent="0.2">
      <c r="A2569" s="12">
        <v>45489</v>
      </c>
      <c r="B2569" s="45"/>
      <c r="C2569" s="2" t="s">
        <v>61</v>
      </c>
      <c r="D2569" s="1" t="s">
        <v>9</v>
      </c>
      <c r="E2569" s="3">
        <v>48192</v>
      </c>
      <c r="F2569" s="36"/>
      <c r="G2569" s="9">
        <f t="shared" si="50"/>
        <v>7994889</v>
      </c>
    </row>
    <row r="2570" spans="1:7" x14ac:dyDescent="0.2">
      <c r="A2570" s="12">
        <v>45489</v>
      </c>
      <c r="B2570" s="35"/>
      <c r="C2570" s="34" t="s">
        <v>1678</v>
      </c>
      <c r="D2570" s="1" t="s">
        <v>9</v>
      </c>
      <c r="F2570" s="36">
        <v>7063660</v>
      </c>
      <c r="G2570" s="9">
        <f t="shared" si="50"/>
        <v>931229</v>
      </c>
    </row>
    <row r="2571" spans="1:7" x14ac:dyDescent="0.2">
      <c r="A2571" s="12">
        <v>45489</v>
      </c>
      <c r="B2571" s="35"/>
      <c r="C2571" s="34" t="s">
        <v>1679</v>
      </c>
      <c r="D2571" s="1" t="s">
        <v>9</v>
      </c>
      <c r="E2571" s="36"/>
      <c r="F2571" s="36">
        <v>5000</v>
      </c>
      <c r="G2571" s="9">
        <f t="shared" si="50"/>
        <v>926229</v>
      </c>
    </row>
    <row r="2572" spans="1:7" x14ac:dyDescent="0.2">
      <c r="A2572" s="37">
        <v>45491</v>
      </c>
      <c r="B2572" s="35"/>
      <c r="C2572" s="34" t="s">
        <v>1678</v>
      </c>
      <c r="D2572" s="1" t="s">
        <v>9</v>
      </c>
      <c r="E2572" s="36"/>
      <c r="F2572" s="36">
        <v>34338</v>
      </c>
      <c r="G2572" s="9">
        <f t="shared" si="50"/>
        <v>891891</v>
      </c>
    </row>
    <row r="2573" spans="1:7" x14ac:dyDescent="0.2">
      <c r="A2573" s="37">
        <v>45491</v>
      </c>
      <c r="B2573" s="35"/>
      <c r="C2573" s="34" t="s">
        <v>1679</v>
      </c>
      <c r="D2573" s="1" t="s">
        <v>9</v>
      </c>
      <c r="E2573" s="36"/>
      <c r="F2573" s="36">
        <v>5000</v>
      </c>
      <c r="G2573" s="9">
        <f t="shared" si="50"/>
        <v>886891</v>
      </c>
    </row>
    <row r="2574" spans="1:7" x14ac:dyDescent="0.2">
      <c r="A2574" s="37">
        <v>45491</v>
      </c>
      <c r="B2574" s="35"/>
      <c r="C2574" s="34" t="s">
        <v>1685</v>
      </c>
      <c r="D2574" s="1" t="s">
        <v>9</v>
      </c>
      <c r="E2574" s="36">
        <v>24911</v>
      </c>
      <c r="F2574" s="36"/>
      <c r="G2574" s="9">
        <f t="shared" si="50"/>
        <v>911802</v>
      </c>
    </row>
    <row r="2575" spans="1:7" x14ac:dyDescent="0.2">
      <c r="A2575" s="37">
        <v>45491</v>
      </c>
      <c r="C2575" s="34" t="s">
        <v>61</v>
      </c>
      <c r="D2575" s="1" t="s">
        <v>9</v>
      </c>
      <c r="E2575" s="3">
        <v>148946</v>
      </c>
      <c r="G2575" s="9">
        <f t="shared" si="50"/>
        <v>1060748</v>
      </c>
    </row>
    <row r="2576" spans="1:7" x14ac:dyDescent="0.2">
      <c r="A2576" s="37">
        <v>45491</v>
      </c>
      <c r="C2576" s="2" t="s">
        <v>698</v>
      </c>
      <c r="D2576" s="1" t="s">
        <v>9</v>
      </c>
      <c r="E2576" s="3">
        <v>272400</v>
      </c>
      <c r="G2576" s="9">
        <f t="shared" si="50"/>
        <v>1333148</v>
      </c>
    </row>
    <row r="2577" spans="1:7" x14ac:dyDescent="0.2">
      <c r="A2577" s="37">
        <v>45491</v>
      </c>
      <c r="C2577" s="2" t="s">
        <v>1684</v>
      </c>
      <c r="D2577" s="1" t="s">
        <v>9</v>
      </c>
      <c r="E2577" s="3">
        <v>284631</v>
      </c>
      <c r="G2577" s="9">
        <f t="shared" si="50"/>
        <v>1617779</v>
      </c>
    </row>
    <row r="2578" spans="1:7" x14ac:dyDescent="0.2">
      <c r="A2578" s="37">
        <v>45491</v>
      </c>
      <c r="B2578" s="45" t="s">
        <v>1676</v>
      </c>
      <c r="C2578" s="2" t="s">
        <v>1677</v>
      </c>
      <c r="D2578" s="1" t="s">
        <v>9</v>
      </c>
      <c r="F2578" s="36">
        <v>1923382</v>
      </c>
      <c r="G2578" s="9">
        <f t="shared" si="50"/>
        <v>-305603</v>
      </c>
    </row>
    <row r="2579" spans="1:7" x14ac:dyDescent="0.2">
      <c r="A2579" s="37">
        <v>45491</v>
      </c>
      <c r="B2579" s="35"/>
      <c r="C2579" s="34" t="s">
        <v>1683</v>
      </c>
      <c r="D2579" s="1" t="s">
        <v>9</v>
      </c>
      <c r="E2579" s="3">
        <v>32007</v>
      </c>
      <c r="F2579" s="36"/>
      <c r="G2579" s="9">
        <f t="shared" si="50"/>
        <v>-273596</v>
      </c>
    </row>
    <row r="2580" spans="1:7" x14ac:dyDescent="0.2">
      <c r="A2580" s="37">
        <v>45491</v>
      </c>
      <c r="B2580" s="35"/>
      <c r="C2580" s="34" t="s">
        <v>1683</v>
      </c>
      <c r="D2580" s="1" t="s">
        <v>9</v>
      </c>
      <c r="E2580" s="36">
        <v>62842</v>
      </c>
      <c r="F2580" s="36"/>
      <c r="G2580" s="9">
        <f t="shared" ref="G2580:G2643" si="51">G2579+E2580-F2580</f>
        <v>-210754</v>
      </c>
    </row>
    <row r="2581" spans="1:7" x14ac:dyDescent="0.2">
      <c r="A2581" s="37">
        <v>45491</v>
      </c>
      <c r="B2581" s="35"/>
      <c r="C2581" s="34" t="s">
        <v>1545</v>
      </c>
      <c r="D2581" s="1" t="s">
        <v>9</v>
      </c>
      <c r="E2581" s="36">
        <v>1441543</v>
      </c>
      <c r="F2581" s="36"/>
      <c r="G2581" s="9">
        <f t="shared" si="51"/>
        <v>1230789</v>
      </c>
    </row>
    <row r="2582" spans="1:7" x14ac:dyDescent="0.2">
      <c r="A2582" s="37">
        <v>45491</v>
      </c>
      <c r="C2582" s="34" t="s">
        <v>1683</v>
      </c>
      <c r="D2582" s="1" t="s">
        <v>9</v>
      </c>
      <c r="E2582" s="3">
        <v>767299</v>
      </c>
      <c r="G2582" s="9">
        <f t="shared" si="51"/>
        <v>1998088</v>
      </c>
    </row>
    <row r="2583" spans="1:7" x14ac:dyDescent="0.2">
      <c r="A2583" s="37">
        <v>45491</v>
      </c>
      <c r="C2583" s="2" t="s">
        <v>1682</v>
      </c>
      <c r="D2583" s="1" t="s">
        <v>9</v>
      </c>
      <c r="E2583" s="3">
        <v>1058139</v>
      </c>
      <c r="G2583" s="9">
        <f t="shared" si="51"/>
        <v>3056227</v>
      </c>
    </row>
    <row r="2584" spans="1:7" x14ac:dyDescent="0.2">
      <c r="A2584" s="37">
        <v>45491</v>
      </c>
      <c r="C2584" s="2" t="s">
        <v>1681</v>
      </c>
      <c r="D2584" s="1" t="s">
        <v>9</v>
      </c>
      <c r="E2584" s="3">
        <v>126791</v>
      </c>
      <c r="G2584" s="9">
        <f t="shared" si="51"/>
        <v>3183018</v>
      </c>
    </row>
    <row r="2585" spans="1:7" x14ac:dyDescent="0.2">
      <c r="A2585" s="37">
        <v>45492</v>
      </c>
      <c r="B2585" s="35"/>
      <c r="C2585" s="52" t="s">
        <v>1680</v>
      </c>
      <c r="D2585" s="35"/>
      <c r="E2585" s="3">
        <v>500000</v>
      </c>
      <c r="F2585" s="36"/>
      <c r="G2585" s="9">
        <f t="shared" si="51"/>
        <v>3683018</v>
      </c>
    </row>
    <row r="2586" spans="1:7" x14ac:dyDescent="0.2">
      <c r="A2586" s="37"/>
      <c r="B2586" s="35"/>
      <c r="C2586" s="34"/>
      <c r="D2586" s="35"/>
      <c r="E2586" s="36"/>
      <c r="F2586" s="36"/>
      <c r="G2586" s="9">
        <f t="shared" si="51"/>
        <v>3683018</v>
      </c>
    </row>
    <row r="2587" spans="1:7" x14ac:dyDescent="0.2">
      <c r="A2587" s="37"/>
      <c r="B2587" s="35"/>
      <c r="C2587" s="34"/>
      <c r="D2587" s="35"/>
      <c r="E2587" s="36"/>
      <c r="F2587" s="36"/>
      <c r="G2587" s="9">
        <f t="shared" si="51"/>
        <v>3683018</v>
      </c>
    </row>
    <row r="2588" spans="1:7" x14ac:dyDescent="0.2">
      <c r="A2588" s="37"/>
      <c r="C2588" s="34"/>
      <c r="G2588" s="9">
        <f t="shared" si="51"/>
        <v>3683018</v>
      </c>
    </row>
    <row r="2589" spans="1:7" x14ac:dyDescent="0.2">
      <c r="A2589" s="37"/>
      <c r="G2589" s="9">
        <f t="shared" si="51"/>
        <v>3683018</v>
      </c>
    </row>
    <row r="2590" spans="1:7" x14ac:dyDescent="0.2">
      <c r="A2590" s="37"/>
      <c r="G2590" s="9">
        <f t="shared" si="51"/>
        <v>3683018</v>
      </c>
    </row>
    <row r="2591" spans="1:7" x14ac:dyDescent="0.2">
      <c r="G2591" s="9">
        <f t="shared" si="51"/>
        <v>3683018</v>
      </c>
    </row>
    <row r="2592" spans="1:7" x14ac:dyDescent="0.2">
      <c r="G2592" s="9">
        <f t="shared" si="51"/>
        <v>3683018</v>
      </c>
    </row>
    <row r="2593" spans="7:7" x14ac:dyDescent="0.2">
      <c r="G2593" s="9">
        <f t="shared" si="51"/>
        <v>3683018</v>
      </c>
    </row>
    <row r="2594" spans="7:7" x14ac:dyDescent="0.2">
      <c r="G2594" s="9">
        <f t="shared" si="51"/>
        <v>3683018</v>
      </c>
    </row>
    <row r="2595" spans="7:7" x14ac:dyDescent="0.2">
      <c r="G2595" s="9">
        <f t="shared" si="51"/>
        <v>3683018</v>
      </c>
    </row>
    <row r="2596" spans="7:7" x14ac:dyDescent="0.2">
      <c r="G2596" s="9">
        <f t="shared" si="51"/>
        <v>3683018</v>
      </c>
    </row>
    <row r="2597" spans="7:7" x14ac:dyDescent="0.2">
      <c r="G2597" s="9">
        <f t="shared" si="51"/>
        <v>3683018</v>
      </c>
    </row>
    <row r="2598" spans="7:7" x14ac:dyDescent="0.2">
      <c r="G2598" s="9">
        <f t="shared" si="51"/>
        <v>3683018</v>
      </c>
    </row>
    <row r="2599" spans="7:7" x14ac:dyDescent="0.2">
      <c r="G2599" s="9">
        <f t="shared" si="51"/>
        <v>3683018</v>
      </c>
    </row>
    <row r="2600" spans="7:7" x14ac:dyDescent="0.2">
      <c r="G2600" s="9">
        <f t="shared" si="51"/>
        <v>3683018</v>
      </c>
    </row>
    <row r="2601" spans="7:7" x14ac:dyDescent="0.2">
      <c r="G2601" s="9">
        <f t="shared" si="51"/>
        <v>3683018</v>
      </c>
    </row>
    <row r="2602" spans="7:7" x14ac:dyDescent="0.2">
      <c r="G2602" s="9">
        <f t="shared" si="51"/>
        <v>3683018</v>
      </c>
    </row>
    <row r="2603" spans="7:7" x14ac:dyDescent="0.2">
      <c r="G2603" s="9">
        <f t="shared" si="51"/>
        <v>3683018</v>
      </c>
    </row>
    <row r="2604" spans="7:7" x14ac:dyDescent="0.2">
      <c r="G2604" s="9">
        <f t="shared" si="51"/>
        <v>3683018</v>
      </c>
    </row>
    <row r="2605" spans="7:7" x14ac:dyDescent="0.2">
      <c r="G2605" s="9">
        <f t="shared" si="51"/>
        <v>3683018</v>
      </c>
    </row>
    <row r="2606" spans="7:7" x14ac:dyDescent="0.2">
      <c r="G2606" s="9">
        <f t="shared" si="51"/>
        <v>3683018</v>
      </c>
    </row>
    <row r="2607" spans="7:7" x14ac:dyDescent="0.2">
      <c r="G2607" s="9">
        <f t="shared" si="51"/>
        <v>3683018</v>
      </c>
    </row>
    <row r="2608" spans="7:7" x14ac:dyDescent="0.2">
      <c r="G2608" s="9">
        <f t="shared" si="51"/>
        <v>3683018</v>
      </c>
    </row>
    <row r="2609" spans="7:7" x14ac:dyDescent="0.2">
      <c r="G2609" s="9">
        <f t="shared" si="51"/>
        <v>3683018</v>
      </c>
    </row>
    <row r="2610" spans="7:7" x14ac:dyDescent="0.2">
      <c r="G2610" s="9">
        <f t="shared" si="51"/>
        <v>3683018</v>
      </c>
    </row>
    <row r="2611" spans="7:7" x14ac:dyDescent="0.2">
      <c r="G2611" s="9">
        <f t="shared" si="51"/>
        <v>3683018</v>
      </c>
    </row>
    <row r="2612" spans="7:7" x14ac:dyDescent="0.2">
      <c r="G2612" s="9">
        <f t="shared" si="51"/>
        <v>3683018</v>
      </c>
    </row>
    <row r="2613" spans="7:7" x14ac:dyDescent="0.2">
      <c r="G2613" s="9">
        <f t="shared" si="51"/>
        <v>3683018</v>
      </c>
    </row>
    <row r="2614" spans="7:7" x14ac:dyDescent="0.2">
      <c r="G2614" s="9">
        <f t="shared" si="51"/>
        <v>3683018</v>
      </c>
    </row>
    <row r="2615" spans="7:7" x14ac:dyDescent="0.2">
      <c r="G2615" s="9">
        <f t="shared" si="51"/>
        <v>3683018</v>
      </c>
    </row>
    <row r="2616" spans="7:7" x14ac:dyDescent="0.2">
      <c r="G2616" s="9">
        <f t="shared" si="51"/>
        <v>3683018</v>
      </c>
    </row>
    <row r="2617" spans="7:7" x14ac:dyDescent="0.2">
      <c r="G2617" s="9">
        <f t="shared" si="51"/>
        <v>3683018</v>
      </c>
    </row>
    <row r="2618" spans="7:7" x14ac:dyDescent="0.2">
      <c r="G2618" s="9">
        <f t="shared" si="51"/>
        <v>3683018</v>
      </c>
    </row>
    <row r="2619" spans="7:7" x14ac:dyDescent="0.2">
      <c r="G2619" s="9">
        <f t="shared" si="51"/>
        <v>3683018</v>
      </c>
    </row>
    <row r="2620" spans="7:7" x14ac:dyDescent="0.2">
      <c r="G2620" s="9">
        <f t="shared" si="51"/>
        <v>3683018</v>
      </c>
    </row>
    <row r="2621" spans="7:7" x14ac:dyDescent="0.2">
      <c r="G2621" s="9">
        <f t="shared" si="51"/>
        <v>3683018</v>
      </c>
    </row>
    <row r="2622" spans="7:7" x14ac:dyDescent="0.2">
      <c r="G2622" s="9">
        <f t="shared" si="51"/>
        <v>3683018</v>
      </c>
    </row>
    <row r="2623" spans="7:7" x14ac:dyDescent="0.2">
      <c r="G2623" s="9">
        <f t="shared" si="51"/>
        <v>3683018</v>
      </c>
    </row>
    <row r="2624" spans="7:7" x14ac:dyDescent="0.2">
      <c r="G2624" s="9">
        <f t="shared" si="51"/>
        <v>3683018</v>
      </c>
    </row>
    <row r="2625" spans="7:7" x14ac:dyDescent="0.2">
      <c r="G2625" s="9">
        <f t="shared" si="51"/>
        <v>3683018</v>
      </c>
    </row>
    <row r="2626" spans="7:7" x14ac:dyDescent="0.2">
      <c r="G2626" s="9">
        <f t="shared" si="51"/>
        <v>3683018</v>
      </c>
    </row>
    <row r="2627" spans="7:7" x14ac:dyDescent="0.2">
      <c r="G2627" s="9">
        <f t="shared" si="51"/>
        <v>3683018</v>
      </c>
    </row>
    <row r="2628" spans="7:7" x14ac:dyDescent="0.2">
      <c r="G2628" s="9">
        <f t="shared" si="51"/>
        <v>3683018</v>
      </c>
    </row>
    <row r="2629" spans="7:7" x14ac:dyDescent="0.2">
      <c r="G2629" s="9">
        <f t="shared" si="51"/>
        <v>3683018</v>
      </c>
    </row>
    <row r="2630" spans="7:7" x14ac:dyDescent="0.2">
      <c r="G2630" s="9">
        <f t="shared" si="51"/>
        <v>3683018</v>
      </c>
    </row>
    <row r="2631" spans="7:7" x14ac:dyDescent="0.2">
      <c r="G2631" s="9">
        <f t="shared" si="51"/>
        <v>3683018</v>
      </c>
    </row>
    <row r="2632" spans="7:7" x14ac:dyDescent="0.2">
      <c r="G2632" s="9">
        <f t="shared" si="51"/>
        <v>3683018</v>
      </c>
    </row>
    <row r="2633" spans="7:7" x14ac:dyDescent="0.2">
      <c r="G2633" s="9">
        <f t="shared" si="51"/>
        <v>3683018</v>
      </c>
    </row>
    <row r="2634" spans="7:7" x14ac:dyDescent="0.2">
      <c r="G2634" s="9">
        <f t="shared" si="51"/>
        <v>3683018</v>
      </c>
    </row>
    <row r="2635" spans="7:7" x14ac:dyDescent="0.2">
      <c r="G2635" s="9">
        <f t="shared" si="51"/>
        <v>3683018</v>
      </c>
    </row>
    <row r="2636" spans="7:7" x14ac:dyDescent="0.2">
      <c r="G2636" s="9">
        <f t="shared" si="51"/>
        <v>3683018</v>
      </c>
    </row>
    <row r="2637" spans="7:7" x14ac:dyDescent="0.2">
      <c r="G2637" s="9">
        <f t="shared" si="51"/>
        <v>3683018</v>
      </c>
    </row>
    <row r="2638" spans="7:7" x14ac:dyDescent="0.2">
      <c r="G2638" s="9">
        <f t="shared" si="51"/>
        <v>3683018</v>
      </c>
    </row>
    <row r="2639" spans="7:7" x14ac:dyDescent="0.2">
      <c r="G2639" s="9">
        <f t="shared" si="51"/>
        <v>3683018</v>
      </c>
    </row>
    <row r="2640" spans="7:7" x14ac:dyDescent="0.2">
      <c r="G2640" s="9">
        <f t="shared" si="51"/>
        <v>3683018</v>
      </c>
    </row>
    <row r="2641" spans="7:7" x14ac:dyDescent="0.2">
      <c r="G2641" s="9">
        <f t="shared" si="51"/>
        <v>3683018</v>
      </c>
    </row>
    <row r="2642" spans="7:7" x14ac:dyDescent="0.2">
      <c r="G2642" s="9">
        <f t="shared" si="51"/>
        <v>3683018</v>
      </c>
    </row>
    <row r="2643" spans="7:7" x14ac:dyDescent="0.2">
      <c r="G2643" s="9">
        <f t="shared" si="51"/>
        <v>3683018</v>
      </c>
    </row>
    <row r="2644" spans="7:7" x14ac:dyDescent="0.2">
      <c r="G2644" s="9">
        <f t="shared" ref="G2644:G2707" si="52">G2643+E2644-F2644</f>
        <v>3683018</v>
      </c>
    </row>
    <row r="2645" spans="7:7" x14ac:dyDescent="0.2">
      <c r="G2645" s="9">
        <f t="shared" si="52"/>
        <v>3683018</v>
      </c>
    </row>
    <row r="2646" spans="7:7" x14ac:dyDescent="0.2">
      <c r="G2646" s="9">
        <f t="shared" si="52"/>
        <v>3683018</v>
      </c>
    </row>
    <row r="2647" spans="7:7" x14ac:dyDescent="0.2">
      <c r="G2647" s="9">
        <f t="shared" si="52"/>
        <v>3683018</v>
      </c>
    </row>
    <row r="2648" spans="7:7" x14ac:dyDescent="0.2">
      <c r="G2648" s="9">
        <f t="shared" si="52"/>
        <v>3683018</v>
      </c>
    </row>
    <row r="2649" spans="7:7" x14ac:dyDescent="0.2">
      <c r="G2649" s="9">
        <f t="shared" si="52"/>
        <v>3683018</v>
      </c>
    </row>
    <row r="2650" spans="7:7" x14ac:dyDescent="0.2">
      <c r="G2650" s="9">
        <f t="shared" si="52"/>
        <v>3683018</v>
      </c>
    </row>
    <row r="2651" spans="7:7" x14ac:dyDescent="0.2">
      <c r="G2651" s="9">
        <f t="shared" si="52"/>
        <v>3683018</v>
      </c>
    </row>
    <row r="2652" spans="7:7" x14ac:dyDescent="0.2">
      <c r="G2652" s="9">
        <f t="shared" si="52"/>
        <v>3683018</v>
      </c>
    </row>
    <row r="2653" spans="7:7" x14ac:dyDescent="0.2">
      <c r="G2653" s="9">
        <f t="shared" si="52"/>
        <v>3683018</v>
      </c>
    </row>
    <row r="2654" spans="7:7" x14ac:dyDescent="0.2">
      <c r="G2654" s="9">
        <f t="shared" si="52"/>
        <v>3683018</v>
      </c>
    </row>
    <row r="2655" spans="7:7" x14ac:dyDescent="0.2">
      <c r="G2655" s="9">
        <f t="shared" si="52"/>
        <v>3683018</v>
      </c>
    </row>
    <row r="2656" spans="7:7" x14ac:dyDescent="0.2">
      <c r="G2656" s="9">
        <f t="shared" si="52"/>
        <v>3683018</v>
      </c>
    </row>
    <row r="2657" spans="7:7" x14ac:dyDescent="0.2">
      <c r="G2657" s="9">
        <f t="shared" si="52"/>
        <v>3683018</v>
      </c>
    </row>
    <row r="2658" spans="7:7" x14ac:dyDescent="0.2">
      <c r="G2658" s="9">
        <f t="shared" si="52"/>
        <v>3683018</v>
      </c>
    </row>
    <row r="2659" spans="7:7" x14ac:dyDescent="0.2">
      <c r="G2659" s="9">
        <f t="shared" si="52"/>
        <v>3683018</v>
      </c>
    </row>
    <row r="2660" spans="7:7" x14ac:dyDescent="0.2">
      <c r="G2660" s="9">
        <f t="shared" si="52"/>
        <v>3683018</v>
      </c>
    </row>
    <row r="2661" spans="7:7" x14ac:dyDescent="0.2">
      <c r="G2661" s="9">
        <f t="shared" si="52"/>
        <v>3683018</v>
      </c>
    </row>
    <row r="2662" spans="7:7" x14ac:dyDescent="0.2">
      <c r="G2662" s="9">
        <f t="shared" si="52"/>
        <v>3683018</v>
      </c>
    </row>
    <row r="2663" spans="7:7" x14ac:dyDescent="0.2">
      <c r="G2663" s="9">
        <f t="shared" si="52"/>
        <v>3683018</v>
      </c>
    </row>
    <row r="2664" spans="7:7" x14ac:dyDescent="0.2">
      <c r="G2664" s="9">
        <f t="shared" si="52"/>
        <v>3683018</v>
      </c>
    </row>
    <row r="2665" spans="7:7" x14ac:dyDescent="0.2">
      <c r="G2665" s="9">
        <f t="shared" si="52"/>
        <v>3683018</v>
      </c>
    </row>
    <row r="2666" spans="7:7" x14ac:dyDescent="0.2">
      <c r="G2666" s="9">
        <f t="shared" si="52"/>
        <v>3683018</v>
      </c>
    </row>
    <row r="2667" spans="7:7" x14ac:dyDescent="0.2">
      <c r="G2667" s="9">
        <f t="shared" si="52"/>
        <v>3683018</v>
      </c>
    </row>
    <row r="2668" spans="7:7" x14ac:dyDescent="0.2">
      <c r="G2668" s="9">
        <f t="shared" si="52"/>
        <v>3683018</v>
      </c>
    </row>
    <row r="2669" spans="7:7" x14ac:dyDescent="0.2">
      <c r="G2669" s="9">
        <f t="shared" si="52"/>
        <v>3683018</v>
      </c>
    </row>
    <row r="2670" spans="7:7" x14ac:dyDescent="0.2">
      <c r="G2670" s="9">
        <f t="shared" si="52"/>
        <v>3683018</v>
      </c>
    </row>
    <row r="2671" spans="7:7" x14ac:dyDescent="0.2">
      <c r="G2671" s="9">
        <f t="shared" si="52"/>
        <v>3683018</v>
      </c>
    </row>
    <row r="2672" spans="7:7" x14ac:dyDescent="0.2">
      <c r="G2672" s="9">
        <f t="shared" si="52"/>
        <v>3683018</v>
      </c>
    </row>
    <row r="2673" spans="7:7" x14ac:dyDescent="0.2">
      <c r="G2673" s="9">
        <f t="shared" si="52"/>
        <v>3683018</v>
      </c>
    </row>
    <row r="2674" spans="7:7" x14ac:dyDescent="0.2">
      <c r="G2674" s="9">
        <f t="shared" si="52"/>
        <v>3683018</v>
      </c>
    </row>
    <row r="2675" spans="7:7" x14ac:dyDescent="0.2">
      <c r="G2675" s="9">
        <f t="shared" si="52"/>
        <v>3683018</v>
      </c>
    </row>
    <row r="2676" spans="7:7" x14ac:dyDescent="0.2">
      <c r="G2676" s="9">
        <f t="shared" si="52"/>
        <v>3683018</v>
      </c>
    </row>
    <row r="2677" spans="7:7" x14ac:dyDescent="0.2">
      <c r="G2677" s="9">
        <f t="shared" si="52"/>
        <v>3683018</v>
      </c>
    </row>
    <row r="2678" spans="7:7" x14ac:dyDescent="0.2">
      <c r="G2678" s="9">
        <f t="shared" si="52"/>
        <v>3683018</v>
      </c>
    </row>
    <row r="2679" spans="7:7" x14ac:dyDescent="0.2">
      <c r="G2679" s="9">
        <f t="shared" si="52"/>
        <v>3683018</v>
      </c>
    </row>
    <row r="2680" spans="7:7" x14ac:dyDescent="0.2">
      <c r="G2680" s="9">
        <f t="shared" si="52"/>
        <v>3683018</v>
      </c>
    </row>
    <row r="2681" spans="7:7" x14ac:dyDescent="0.2">
      <c r="G2681" s="9">
        <f t="shared" si="52"/>
        <v>3683018</v>
      </c>
    </row>
    <row r="2682" spans="7:7" x14ac:dyDescent="0.2">
      <c r="G2682" s="9">
        <f t="shared" si="52"/>
        <v>3683018</v>
      </c>
    </row>
    <row r="2683" spans="7:7" x14ac:dyDescent="0.2">
      <c r="G2683" s="9">
        <f t="shared" si="52"/>
        <v>3683018</v>
      </c>
    </row>
    <row r="2684" spans="7:7" x14ac:dyDescent="0.2">
      <c r="G2684" s="9">
        <f t="shared" si="52"/>
        <v>3683018</v>
      </c>
    </row>
    <row r="2685" spans="7:7" x14ac:dyDescent="0.2">
      <c r="G2685" s="9">
        <f t="shared" si="52"/>
        <v>3683018</v>
      </c>
    </row>
    <row r="2686" spans="7:7" x14ac:dyDescent="0.2">
      <c r="G2686" s="9">
        <f t="shared" si="52"/>
        <v>3683018</v>
      </c>
    </row>
    <row r="2687" spans="7:7" x14ac:dyDescent="0.2">
      <c r="G2687" s="9">
        <f t="shared" si="52"/>
        <v>3683018</v>
      </c>
    </row>
    <row r="2688" spans="7:7" x14ac:dyDescent="0.2">
      <c r="G2688" s="9">
        <f t="shared" si="52"/>
        <v>3683018</v>
      </c>
    </row>
    <row r="2689" spans="7:7" x14ac:dyDescent="0.2">
      <c r="G2689" s="9">
        <f t="shared" si="52"/>
        <v>3683018</v>
      </c>
    </row>
    <row r="2690" spans="7:7" x14ac:dyDescent="0.2">
      <c r="G2690" s="9">
        <f t="shared" si="52"/>
        <v>3683018</v>
      </c>
    </row>
    <row r="2691" spans="7:7" x14ac:dyDescent="0.2">
      <c r="G2691" s="9">
        <f t="shared" si="52"/>
        <v>3683018</v>
      </c>
    </row>
    <row r="2692" spans="7:7" x14ac:dyDescent="0.2">
      <c r="G2692" s="9">
        <f t="shared" si="52"/>
        <v>3683018</v>
      </c>
    </row>
    <row r="2693" spans="7:7" x14ac:dyDescent="0.2">
      <c r="G2693" s="9">
        <f t="shared" si="52"/>
        <v>3683018</v>
      </c>
    </row>
    <row r="2694" spans="7:7" x14ac:dyDescent="0.2">
      <c r="G2694" s="9">
        <f t="shared" si="52"/>
        <v>3683018</v>
      </c>
    </row>
    <row r="2695" spans="7:7" x14ac:dyDescent="0.2">
      <c r="G2695" s="9">
        <f t="shared" si="52"/>
        <v>3683018</v>
      </c>
    </row>
    <row r="2696" spans="7:7" x14ac:dyDescent="0.2">
      <c r="G2696" s="9">
        <f t="shared" si="52"/>
        <v>3683018</v>
      </c>
    </row>
    <row r="2697" spans="7:7" x14ac:dyDescent="0.2">
      <c r="G2697" s="9">
        <f t="shared" si="52"/>
        <v>3683018</v>
      </c>
    </row>
    <row r="2698" spans="7:7" x14ac:dyDescent="0.2">
      <c r="G2698" s="9">
        <f t="shared" si="52"/>
        <v>3683018</v>
      </c>
    </row>
    <row r="2699" spans="7:7" x14ac:dyDescent="0.2">
      <c r="G2699" s="9">
        <f t="shared" si="52"/>
        <v>3683018</v>
      </c>
    </row>
    <row r="2700" spans="7:7" x14ac:dyDescent="0.2">
      <c r="G2700" s="9">
        <f t="shared" si="52"/>
        <v>3683018</v>
      </c>
    </row>
    <row r="2701" spans="7:7" x14ac:dyDescent="0.2">
      <c r="G2701" s="9">
        <f t="shared" si="52"/>
        <v>3683018</v>
      </c>
    </row>
    <row r="2702" spans="7:7" x14ac:dyDescent="0.2">
      <c r="G2702" s="9">
        <f t="shared" si="52"/>
        <v>3683018</v>
      </c>
    </row>
    <row r="2703" spans="7:7" x14ac:dyDescent="0.2">
      <c r="G2703" s="9">
        <f t="shared" si="52"/>
        <v>3683018</v>
      </c>
    </row>
    <row r="2704" spans="7:7" x14ac:dyDescent="0.2">
      <c r="G2704" s="9">
        <f t="shared" si="52"/>
        <v>3683018</v>
      </c>
    </row>
    <row r="2705" spans="7:7" x14ac:dyDescent="0.2">
      <c r="G2705" s="9">
        <f t="shared" si="52"/>
        <v>3683018</v>
      </c>
    </row>
    <row r="2706" spans="7:7" x14ac:dyDescent="0.2">
      <c r="G2706" s="9">
        <f t="shared" si="52"/>
        <v>3683018</v>
      </c>
    </row>
    <row r="2707" spans="7:7" x14ac:dyDescent="0.2">
      <c r="G2707" s="9">
        <f t="shared" si="52"/>
        <v>3683018</v>
      </c>
    </row>
    <row r="2708" spans="7:7" x14ac:dyDescent="0.2">
      <c r="G2708" s="9">
        <f t="shared" ref="G2708:G2771" si="53">G2707+E2708-F2708</f>
        <v>3683018</v>
      </c>
    </row>
    <row r="2709" spans="7:7" x14ac:dyDescent="0.2">
      <c r="G2709" s="9">
        <f t="shared" si="53"/>
        <v>3683018</v>
      </c>
    </row>
    <row r="2710" spans="7:7" x14ac:dyDescent="0.2">
      <c r="G2710" s="9">
        <f t="shared" si="53"/>
        <v>3683018</v>
      </c>
    </row>
    <row r="2711" spans="7:7" x14ac:dyDescent="0.2">
      <c r="G2711" s="9">
        <f t="shared" si="53"/>
        <v>3683018</v>
      </c>
    </row>
    <row r="2712" spans="7:7" x14ac:dyDescent="0.2">
      <c r="G2712" s="9">
        <f t="shared" si="53"/>
        <v>3683018</v>
      </c>
    </row>
    <row r="2713" spans="7:7" x14ac:dyDescent="0.2">
      <c r="G2713" s="9">
        <f t="shared" si="53"/>
        <v>3683018</v>
      </c>
    </row>
    <row r="2714" spans="7:7" x14ac:dyDescent="0.2">
      <c r="G2714" s="9">
        <f t="shared" si="53"/>
        <v>3683018</v>
      </c>
    </row>
    <row r="2715" spans="7:7" x14ac:dyDescent="0.2">
      <c r="G2715" s="9">
        <f t="shared" si="53"/>
        <v>3683018</v>
      </c>
    </row>
    <row r="2716" spans="7:7" x14ac:dyDescent="0.2">
      <c r="G2716" s="9">
        <f t="shared" si="53"/>
        <v>3683018</v>
      </c>
    </row>
    <row r="2717" spans="7:7" x14ac:dyDescent="0.2">
      <c r="G2717" s="9">
        <f t="shared" si="53"/>
        <v>3683018</v>
      </c>
    </row>
    <row r="2718" spans="7:7" x14ac:dyDescent="0.2">
      <c r="G2718" s="9">
        <f t="shared" si="53"/>
        <v>3683018</v>
      </c>
    </row>
    <row r="2719" spans="7:7" x14ac:dyDescent="0.2">
      <c r="G2719" s="9">
        <f t="shared" si="53"/>
        <v>3683018</v>
      </c>
    </row>
    <row r="2720" spans="7:7" x14ac:dyDescent="0.2">
      <c r="G2720" s="9">
        <f t="shared" si="53"/>
        <v>3683018</v>
      </c>
    </row>
    <row r="2721" spans="7:7" x14ac:dyDescent="0.2">
      <c r="G2721" s="9">
        <f t="shared" si="53"/>
        <v>3683018</v>
      </c>
    </row>
    <row r="2722" spans="7:7" x14ac:dyDescent="0.2">
      <c r="G2722" s="9">
        <f t="shared" si="53"/>
        <v>3683018</v>
      </c>
    </row>
    <row r="2723" spans="7:7" x14ac:dyDescent="0.2">
      <c r="G2723" s="9">
        <f t="shared" si="53"/>
        <v>3683018</v>
      </c>
    </row>
    <row r="2724" spans="7:7" x14ac:dyDescent="0.2">
      <c r="G2724" s="9">
        <f t="shared" si="53"/>
        <v>3683018</v>
      </c>
    </row>
    <row r="2725" spans="7:7" x14ac:dyDescent="0.2">
      <c r="G2725" s="9">
        <f t="shared" si="53"/>
        <v>3683018</v>
      </c>
    </row>
    <row r="2726" spans="7:7" x14ac:dyDescent="0.2">
      <c r="G2726" s="9">
        <f t="shared" si="53"/>
        <v>3683018</v>
      </c>
    </row>
    <row r="2727" spans="7:7" x14ac:dyDescent="0.2">
      <c r="G2727" s="9">
        <f t="shared" si="53"/>
        <v>3683018</v>
      </c>
    </row>
    <row r="2728" spans="7:7" x14ac:dyDescent="0.2">
      <c r="G2728" s="9">
        <f t="shared" si="53"/>
        <v>3683018</v>
      </c>
    </row>
    <row r="2729" spans="7:7" x14ac:dyDescent="0.2">
      <c r="G2729" s="9">
        <f t="shared" si="53"/>
        <v>3683018</v>
      </c>
    </row>
    <row r="2730" spans="7:7" x14ac:dyDescent="0.2">
      <c r="G2730" s="9">
        <f t="shared" si="53"/>
        <v>3683018</v>
      </c>
    </row>
    <row r="2731" spans="7:7" x14ac:dyDescent="0.2">
      <c r="G2731" s="9">
        <f t="shared" si="53"/>
        <v>3683018</v>
      </c>
    </row>
    <row r="2732" spans="7:7" x14ac:dyDescent="0.2">
      <c r="G2732" s="9">
        <f t="shared" si="53"/>
        <v>3683018</v>
      </c>
    </row>
    <row r="2733" spans="7:7" x14ac:dyDescent="0.2">
      <c r="G2733" s="9">
        <f t="shared" si="53"/>
        <v>3683018</v>
      </c>
    </row>
    <row r="2734" spans="7:7" x14ac:dyDescent="0.2">
      <c r="G2734" s="9">
        <f t="shared" si="53"/>
        <v>3683018</v>
      </c>
    </row>
    <row r="2735" spans="7:7" x14ac:dyDescent="0.2">
      <c r="G2735" s="9">
        <f t="shared" si="53"/>
        <v>3683018</v>
      </c>
    </row>
    <row r="2736" spans="7:7" x14ac:dyDescent="0.2">
      <c r="G2736" s="9">
        <f t="shared" si="53"/>
        <v>3683018</v>
      </c>
    </row>
    <row r="2737" spans="7:7" x14ac:dyDescent="0.2">
      <c r="G2737" s="9">
        <f t="shared" si="53"/>
        <v>3683018</v>
      </c>
    </row>
    <row r="2738" spans="7:7" x14ac:dyDescent="0.2">
      <c r="G2738" s="9">
        <f t="shared" si="53"/>
        <v>3683018</v>
      </c>
    </row>
    <row r="2739" spans="7:7" x14ac:dyDescent="0.2">
      <c r="G2739" s="9">
        <f t="shared" si="53"/>
        <v>3683018</v>
      </c>
    </row>
    <row r="2740" spans="7:7" x14ac:dyDescent="0.2">
      <c r="G2740" s="9">
        <f t="shared" si="53"/>
        <v>3683018</v>
      </c>
    </row>
    <row r="2741" spans="7:7" x14ac:dyDescent="0.2">
      <c r="G2741" s="9">
        <f t="shared" si="53"/>
        <v>3683018</v>
      </c>
    </row>
    <row r="2742" spans="7:7" x14ac:dyDescent="0.2">
      <c r="G2742" s="9">
        <f t="shared" si="53"/>
        <v>3683018</v>
      </c>
    </row>
    <row r="2743" spans="7:7" x14ac:dyDescent="0.2">
      <c r="G2743" s="9">
        <f t="shared" si="53"/>
        <v>3683018</v>
      </c>
    </row>
    <row r="2744" spans="7:7" x14ac:dyDescent="0.2">
      <c r="G2744" s="9">
        <f t="shared" si="53"/>
        <v>3683018</v>
      </c>
    </row>
    <row r="2745" spans="7:7" x14ac:dyDescent="0.2">
      <c r="G2745" s="9">
        <f t="shared" si="53"/>
        <v>3683018</v>
      </c>
    </row>
    <row r="2746" spans="7:7" x14ac:dyDescent="0.2">
      <c r="G2746" s="9">
        <f t="shared" si="53"/>
        <v>3683018</v>
      </c>
    </row>
    <row r="2747" spans="7:7" x14ac:dyDescent="0.2">
      <c r="G2747" s="9">
        <f t="shared" si="53"/>
        <v>3683018</v>
      </c>
    </row>
    <row r="2748" spans="7:7" x14ac:dyDescent="0.2">
      <c r="G2748" s="9">
        <f t="shared" si="53"/>
        <v>3683018</v>
      </c>
    </row>
    <row r="2749" spans="7:7" x14ac:dyDescent="0.2">
      <c r="G2749" s="9">
        <f t="shared" si="53"/>
        <v>3683018</v>
      </c>
    </row>
    <row r="2750" spans="7:7" x14ac:dyDescent="0.2">
      <c r="G2750" s="9">
        <f t="shared" si="53"/>
        <v>3683018</v>
      </c>
    </row>
    <row r="2751" spans="7:7" x14ac:dyDescent="0.2">
      <c r="G2751" s="9">
        <f t="shared" si="53"/>
        <v>3683018</v>
      </c>
    </row>
    <row r="2752" spans="7:7" x14ac:dyDescent="0.2">
      <c r="G2752" s="9">
        <f t="shared" si="53"/>
        <v>3683018</v>
      </c>
    </row>
    <row r="2753" spans="7:7" x14ac:dyDescent="0.2">
      <c r="G2753" s="9">
        <f t="shared" si="53"/>
        <v>3683018</v>
      </c>
    </row>
    <row r="2754" spans="7:7" x14ac:dyDescent="0.2">
      <c r="G2754" s="9">
        <f t="shared" si="53"/>
        <v>3683018</v>
      </c>
    </row>
    <row r="2755" spans="7:7" x14ac:dyDescent="0.2">
      <c r="G2755" s="9">
        <f t="shared" si="53"/>
        <v>3683018</v>
      </c>
    </row>
    <row r="2756" spans="7:7" x14ac:dyDescent="0.2">
      <c r="G2756" s="9">
        <f t="shared" si="53"/>
        <v>3683018</v>
      </c>
    </row>
    <row r="2757" spans="7:7" x14ac:dyDescent="0.2">
      <c r="G2757" s="9">
        <f t="shared" si="53"/>
        <v>3683018</v>
      </c>
    </row>
    <row r="2758" spans="7:7" x14ac:dyDescent="0.2">
      <c r="G2758" s="9">
        <f t="shared" si="53"/>
        <v>3683018</v>
      </c>
    </row>
    <row r="2759" spans="7:7" x14ac:dyDescent="0.2">
      <c r="G2759" s="9">
        <f t="shared" si="53"/>
        <v>3683018</v>
      </c>
    </row>
    <row r="2760" spans="7:7" x14ac:dyDescent="0.2">
      <c r="G2760" s="9">
        <f t="shared" si="53"/>
        <v>3683018</v>
      </c>
    </row>
    <row r="2761" spans="7:7" x14ac:dyDescent="0.2">
      <c r="G2761" s="9">
        <f t="shared" si="53"/>
        <v>3683018</v>
      </c>
    </row>
    <row r="2762" spans="7:7" x14ac:dyDescent="0.2">
      <c r="G2762" s="9">
        <f t="shared" si="53"/>
        <v>3683018</v>
      </c>
    </row>
    <row r="2763" spans="7:7" x14ac:dyDescent="0.2">
      <c r="G2763" s="9">
        <f t="shared" si="53"/>
        <v>3683018</v>
      </c>
    </row>
    <row r="2764" spans="7:7" x14ac:dyDescent="0.2">
      <c r="G2764" s="9">
        <f t="shared" si="53"/>
        <v>3683018</v>
      </c>
    </row>
    <row r="2765" spans="7:7" x14ac:dyDescent="0.2">
      <c r="G2765" s="9">
        <f t="shared" si="53"/>
        <v>3683018</v>
      </c>
    </row>
    <row r="2766" spans="7:7" x14ac:dyDescent="0.2">
      <c r="G2766" s="9">
        <f t="shared" si="53"/>
        <v>3683018</v>
      </c>
    </row>
    <row r="2767" spans="7:7" x14ac:dyDescent="0.2">
      <c r="G2767" s="9">
        <f t="shared" si="53"/>
        <v>3683018</v>
      </c>
    </row>
    <row r="2768" spans="7:7" x14ac:dyDescent="0.2">
      <c r="G2768" s="9">
        <f t="shared" si="53"/>
        <v>3683018</v>
      </c>
    </row>
    <row r="2769" spans="7:7" x14ac:dyDescent="0.2">
      <c r="G2769" s="9">
        <f t="shared" si="53"/>
        <v>3683018</v>
      </c>
    </row>
    <row r="2770" spans="7:7" x14ac:dyDescent="0.2">
      <c r="G2770" s="9">
        <f t="shared" si="53"/>
        <v>3683018</v>
      </c>
    </row>
    <row r="2771" spans="7:7" x14ac:dyDescent="0.2">
      <c r="G2771" s="9">
        <f t="shared" si="53"/>
        <v>3683018</v>
      </c>
    </row>
    <row r="2772" spans="7:7" x14ac:dyDescent="0.2">
      <c r="G2772" s="9">
        <f t="shared" ref="G2772:G2835" si="54">G2771+E2772-F2772</f>
        <v>3683018</v>
      </c>
    </row>
    <row r="2773" spans="7:7" x14ac:dyDescent="0.2">
      <c r="G2773" s="9">
        <f t="shared" si="54"/>
        <v>3683018</v>
      </c>
    </row>
    <row r="2774" spans="7:7" x14ac:dyDescent="0.2">
      <c r="G2774" s="9">
        <f t="shared" si="54"/>
        <v>3683018</v>
      </c>
    </row>
    <row r="2775" spans="7:7" x14ac:dyDescent="0.2">
      <c r="G2775" s="9">
        <f t="shared" si="54"/>
        <v>3683018</v>
      </c>
    </row>
    <row r="2776" spans="7:7" x14ac:dyDescent="0.2">
      <c r="G2776" s="9">
        <f t="shared" si="54"/>
        <v>3683018</v>
      </c>
    </row>
    <row r="2777" spans="7:7" x14ac:dyDescent="0.2">
      <c r="G2777" s="9">
        <f t="shared" si="54"/>
        <v>3683018</v>
      </c>
    </row>
    <row r="2778" spans="7:7" x14ac:dyDescent="0.2">
      <c r="G2778" s="9">
        <f t="shared" si="54"/>
        <v>3683018</v>
      </c>
    </row>
    <row r="2779" spans="7:7" x14ac:dyDescent="0.2">
      <c r="G2779" s="9">
        <f t="shared" si="54"/>
        <v>3683018</v>
      </c>
    </row>
    <row r="2780" spans="7:7" x14ac:dyDescent="0.2">
      <c r="G2780" s="9">
        <f t="shared" si="54"/>
        <v>3683018</v>
      </c>
    </row>
    <row r="2781" spans="7:7" x14ac:dyDescent="0.2">
      <c r="G2781" s="9">
        <f t="shared" si="54"/>
        <v>3683018</v>
      </c>
    </row>
    <row r="2782" spans="7:7" x14ac:dyDescent="0.2">
      <c r="G2782" s="9">
        <f t="shared" si="54"/>
        <v>3683018</v>
      </c>
    </row>
    <row r="2783" spans="7:7" x14ac:dyDescent="0.2">
      <c r="G2783" s="9">
        <f t="shared" si="54"/>
        <v>3683018</v>
      </c>
    </row>
    <row r="2784" spans="7:7" x14ac:dyDescent="0.2">
      <c r="G2784" s="9">
        <f t="shared" si="54"/>
        <v>3683018</v>
      </c>
    </row>
    <row r="2785" spans="7:7" x14ac:dyDescent="0.2">
      <c r="G2785" s="9">
        <f t="shared" si="54"/>
        <v>3683018</v>
      </c>
    </row>
    <row r="2786" spans="7:7" x14ac:dyDescent="0.2">
      <c r="G2786" s="9">
        <f t="shared" si="54"/>
        <v>3683018</v>
      </c>
    </row>
    <row r="2787" spans="7:7" x14ac:dyDescent="0.2">
      <c r="G2787" s="9">
        <f t="shared" si="54"/>
        <v>3683018</v>
      </c>
    </row>
    <row r="2788" spans="7:7" x14ac:dyDescent="0.2">
      <c r="G2788" s="9">
        <f t="shared" si="54"/>
        <v>3683018</v>
      </c>
    </row>
    <row r="2789" spans="7:7" x14ac:dyDescent="0.2">
      <c r="G2789" s="9">
        <f t="shared" si="54"/>
        <v>3683018</v>
      </c>
    </row>
    <row r="2790" spans="7:7" x14ac:dyDescent="0.2">
      <c r="G2790" s="9">
        <f t="shared" si="54"/>
        <v>3683018</v>
      </c>
    </row>
    <row r="2791" spans="7:7" x14ac:dyDescent="0.2">
      <c r="G2791" s="9">
        <f t="shared" si="54"/>
        <v>3683018</v>
      </c>
    </row>
    <row r="2792" spans="7:7" x14ac:dyDescent="0.2">
      <c r="G2792" s="9">
        <f t="shared" si="54"/>
        <v>3683018</v>
      </c>
    </row>
    <row r="2793" spans="7:7" x14ac:dyDescent="0.2">
      <c r="G2793" s="9">
        <f t="shared" si="54"/>
        <v>3683018</v>
      </c>
    </row>
    <row r="2794" spans="7:7" x14ac:dyDescent="0.2">
      <c r="G2794" s="9">
        <f t="shared" si="54"/>
        <v>3683018</v>
      </c>
    </row>
    <row r="2795" spans="7:7" x14ac:dyDescent="0.2">
      <c r="G2795" s="9">
        <f t="shared" si="54"/>
        <v>3683018</v>
      </c>
    </row>
    <row r="2796" spans="7:7" x14ac:dyDescent="0.2">
      <c r="G2796" s="9">
        <f t="shared" si="54"/>
        <v>3683018</v>
      </c>
    </row>
    <row r="2797" spans="7:7" x14ac:dyDescent="0.2">
      <c r="G2797" s="9">
        <f t="shared" si="54"/>
        <v>3683018</v>
      </c>
    </row>
    <row r="2798" spans="7:7" x14ac:dyDescent="0.2">
      <c r="G2798" s="9">
        <f t="shared" si="54"/>
        <v>3683018</v>
      </c>
    </row>
    <row r="2799" spans="7:7" x14ac:dyDescent="0.2">
      <c r="G2799" s="9">
        <f t="shared" si="54"/>
        <v>3683018</v>
      </c>
    </row>
    <row r="2800" spans="7:7" x14ac:dyDescent="0.2">
      <c r="G2800" s="9">
        <f t="shared" si="54"/>
        <v>3683018</v>
      </c>
    </row>
    <row r="2801" spans="7:7" x14ac:dyDescent="0.2">
      <c r="G2801" s="9">
        <f t="shared" si="54"/>
        <v>3683018</v>
      </c>
    </row>
    <row r="2802" spans="7:7" x14ac:dyDescent="0.2">
      <c r="G2802" s="9">
        <f t="shared" si="54"/>
        <v>3683018</v>
      </c>
    </row>
    <row r="2803" spans="7:7" x14ac:dyDescent="0.2">
      <c r="G2803" s="9">
        <f t="shared" si="54"/>
        <v>3683018</v>
      </c>
    </row>
    <row r="2804" spans="7:7" x14ac:dyDescent="0.2">
      <c r="G2804" s="9">
        <f t="shared" si="54"/>
        <v>3683018</v>
      </c>
    </row>
    <row r="2805" spans="7:7" x14ac:dyDescent="0.2">
      <c r="G2805" s="9">
        <f t="shared" si="54"/>
        <v>3683018</v>
      </c>
    </row>
    <row r="2806" spans="7:7" x14ac:dyDescent="0.2">
      <c r="G2806" s="9">
        <f t="shared" si="54"/>
        <v>3683018</v>
      </c>
    </row>
    <row r="2807" spans="7:7" x14ac:dyDescent="0.2">
      <c r="G2807" s="9">
        <f t="shared" si="54"/>
        <v>3683018</v>
      </c>
    </row>
    <row r="2808" spans="7:7" x14ac:dyDescent="0.2">
      <c r="G2808" s="9">
        <f t="shared" si="54"/>
        <v>3683018</v>
      </c>
    </row>
    <row r="2809" spans="7:7" x14ac:dyDescent="0.2">
      <c r="G2809" s="9">
        <f t="shared" si="54"/>
        <v>3683018</v>
      </c>
    </row>
    <row r="2810" spans="7:7" x14ac:dyDescent="0.2">
      <c r="G2810" s="9">
        <f t="shared" si="54"/>
        <v>3683018</v>
      </c>
    </row>
    <row r="2811" spans="7:7" x14ac:dyDescent="0.2">
      <c r="G2811" s="9">
        <f t="shared" si="54"/>
        <v>3683018</v>
      </c>
    </row>
    <row r="2812" spans="7:7" x14ac:dyDescent="0.2">
      <c r="G2812" s="9">
        <f t="shared" si="54"/>
        <v>3683018</v>
      </c>
    </row>
    <row r="2813" spans="7:7" x14ac:dyDescent="0.2">
      <c r="G2813" s="9">
        <f t="shared" si="54"/>
        <v>3683018</v>
      </c>
    </row>
    <row r="2814" spans="7:7" x14ac:dyDescent="0.2">
      <c r="G2814" s="9">
        <f t="shared" si="54"/>
        <v>3683018</v>
      </c>
    </row>
    <row r="2815" spans="7:7" x14ac:dyDescent="0.2">
      <c r="G2815" s="9">
        <f t="shared" si="54"/>
        <v>3683018</v>
      </c>
    </row>
    <row r="2816" spans="7:7" x14ac:dyDescent="0.2">
      <c r="G2816" s="9">
        <f t="shared" si="54"/>
        <v>3683018</v>
      </c>
    </row>
    <row r="2817" spans="7:7" x14ac:dyDescent="0.2">
      <c r="G2817" s="9">
        <f t="shared" si="54"/>
        <v>3683018</v>
      </c>
    </row>
    <row r="2818" spans="7:7" x14ac:dyDescent="0.2">
      <c r="G2818" s="9">
        <f t="shared" si="54"/>
        <v>3683018</v>
      </c>
    </row>
    <row r="2819" spans="7:7" x14ac:dyDescent="0.2">
      <c r="G2819" s="9">
        <f t="shared" si="54"/>
        <v>3683018</v>
      </c>
    </row>
    <row r="2820" spans="7:7" x14ac:dyDescent="0.2">
      <c r="G2820" s="9">
        <f t="shared" si="54"/>
        <v>3683018</v>
      </c>
    </row>
    <row r="2821" spans="7:7" x14ac:dyDescent="0.2">
      <c r="G2821" s="9">
        <f t="shared" si="54"/>
        <v>3683018</v>
      </c>
    </row>
    <row r="2822" spans="7:7" x14ac:dyDescent="0.2">
      <c r="G2822" s="9">
        <f t="shared" si="54"/>
        <v>3683018</v>
      </c>
    </row>
    <row r="2823" spans="7:7" x14ac:dyDescent="0.2">
      <c r="G2823" s="9">
        <f t="shared" si="54"/>
        <v>3683018</v>
      </c>
    </row>
    <row r="2824" spans="7:7" x14ac:dyDescent="0.2">
      <c r="G2824" s="9">
        <f t="shared" si="54"/>
        <v>3683018</v>
      </c>
    </row>
    <row r="2825" spans="7:7" x14ac:dyDescent="0.2">
      <c r="G2825" s="9">
        <f t="shared" si="54"/>
        <v>3683018</v>
      </c>
    </row>
    <row r="2826" spans="7:7" x14ac:dyDescent="0.2">
      <c r="G2826" s="9">
        <f t="shared" si="54"/>
        <v>3683018</v>
      </c>
    </row>
    <row r="2827" spans="7:7" x14ac:dyDescent="0.2">
      <c r="G2827" s="9">
        <f t="shared" si="54"/>
        <v>3683018</v>
      </c>
    </row>
    <row r="2828" spans="7:7" x14ac:dyDescent="0.2">
      <c r="G2828" s="9">
        <f t="shared" si="54"/>
        <v>3683018</v>
      </c>
    </row>
    <row r="2829" spans="7:7" x14ac:dyDescent="0.2">
      <c r="G2829" s="9">
        <f t="shared" si="54"/>
        <v>3683018</v>
      </c>
    </row>
    <row r="2830" spans="7:7" x14ac:dyDescent="0.2">
      <c r="G2830" s="9">
        <f t="shared" si="54"/>
        <v>3683018</v>
      </c>
    </row>
    <row r="2831" spans="7:7" x14ac:dyDescent="0.2">
      <c r="G2831" s="9">
        <f t="shared" si="54"/>
        <v>3683018</v>
      </c>
    </row>
    <row r="2832" spans="7:7" x14ac:dyDescent="0.2">
      <c r="G2832" s="9">
        <f t="shared" si="54"/>
        <v>3683018</v>
      </c>
    </row>
    <row r="2833" spans="7:7" x14ac:dyDescent="0.2">
      <c r="G2833" s="9">
        <f t="shared" si="54"/>
        <v>3683018</v>
      </c>
    </row>
    <row r="2834" spans="7:7" x14ac:dyDescent="0.2">
      <c r="G2834" s="9">
        <f t="shared" si="54"/>
        <v>3683018</v>
      </c>
    </row>
    <row r="2835" spans="7:7" x14ac:dyDescent="0.2">
      <c r="G2835" s="9">
        <f t="shared" si="54"/>
        <v>3683018</v>
      </c>
    </row>
    <row r="2836" spans="7:7" x14ac:dyDescent="0.2">
      <c r="G2836" s="9">
        <f t="shared" ref="G2836:G2899" si="55">G2835+E2836-F2836</f>
        <v>3683018</v>
      </c>
    </row>
    <row r="2837" spans="7:7" x14ac:dyDescent="0.2">
      <c r="G2837" s="9">
        <f t="shared" si="55"/>
        <v>3683018</v>
      </c>
    </row>
    <row r="2838" spans="7:7" x14ac:dyDescent="0.2">
      <c r="G2838" s="9">
        <f t="shared" si="55"/>
        <v>3683018</v>
      </c>
    </row>
    <row r="2839" spans="7:7" x14ac:dyDescent="0.2">
      <c r="G2839" s="9">
        <f t="shared" si="55"/>
        <v>3683018</v>
      </c>
    </row>
    <row r="2840" spans="7:7" x14ac:dyDescent="0.2">
      <c r="G2840" s="9">
        <f t="shared" si="55"/>
        <v>3683018</v>
      </c>
    </row>
    <row r="2841" spans="7:7" x14ac:dyDescent="0.2">
      <c r="G2841" s="9">
        <f t="shared" si="55"/>
        <v>3683018</v>
      </c>
    </row>
    <row r="2842" spans="7:7" x14ac:dyDescent="0.2">
      <c r="G2842" s="9">
        <f t="shared" si="55"/>
        <v>3683018</v>
      </c>
    </row>
    <row r="2843" spans="7:7" x14ac:dyDescent="0.2">
      <c r="G2843" s="9">
        <f t="shared" si="55"/>
        <v>3683018</v>
      </c>
    </row>
    <row r="2844" spans="7:7" x14ac:dyDescent="0.2">
      <c r="G2844" s="9">
        <f t="shared" si="55"/>
        <v>3683018</v>
      </c>
    </row>
    <row r="2845" spans="7:7" x14ac:dyDescent="0.2">
      <c r="G2845" s="9">
        <f t="shared" si="55"/>
        <v>3683018</v>
      </c>
    </row>
    <row r="2846" spans="7:7" x14ac:dyDescent="0.2">
      <c r="G2846" s="9">
        <f t="shared" si="55"/>
        <v>3683018</v>
      </c>
    </row>
    <row r="2847" spans="7:7" x14ac:dyDescent="0.2">
      <c r="G2847" s="9">
        <f t="shared" si="55"/>
        <v>3683018</v>
      </c>
    </row>
    <row r="2848" spans="7:7" x14ac:dyDescent="0.2">
      <c r="G2848" s="9">
        <f t="shared" si="55"/>
        <v>3683018</v>
      </c>
    </row>
    <row r="2849" spans="7:7" x14ac:dyDescent="0.2">
      <c r="G2849" s="9">
        <f t="shared" si="55"/>
        <v>3683018</v>
      </c>
    </row>
    <row r="2850" spans="7:7" x14ac:dyDescent="0.2">
      <c r="G2850" s="9">
        <f t="shared" si="55"/>
        <v>3683018</v>
      </c>
    </row>
    <row r="2851" spans="7:7" x14ac:dyDescent="0.2">
      <c r="G2851" s="9">
        <f t="shared" si="55"/>
        <v>3683018</v>
      </c>
    </row>
    <row r="2852" spans="7:7" x14ac:dyDescent="0.2">
      <c r="G2852" s="9">
        <f t="shared" si="55"/>
        <v>3683018</v>
      </c>
    </row>
    <row r="2853" spans="7:7" x14ac:dyDescent="0.2">
      <c r="G2853" s="9">
        <f t="shared" si="55"/>
        <v>3683018</v>
      </c>
    </row>
    <row r="2854" spans="7:7" x14ac:dyDescent="0.2">
      <c r="G2854" s="9">
        <f t="shared" si="55"/>
        <v>3683018</v>
      </c>
    </row>
    <row r="2855" spans="7:7" x14ac:dyDescent="0.2">
      <c r="G2855" s="9">
        <f t="shared" si="55"/>
        <v>3683018</v>
      </c>
    </row>
    <row r="2856" spans="7:7" x14ac:dyDescent="0.2">
      <c r="G2856" s="9">
        <f t="shared" si="55"/>
        <v>3683018</v>
      </c>
    </row>
    <row r="2857" spans="7:7" x14ac:dyDescent="0.2">
      <c r="G2857" s="9">
        <f t="shared" si="55"/>
        <v>3683018</v>
      </c>
    </row>
    <row r="2858" spans="7:7" x14ac:dyDescent="0.2">
      <c r="G2858" s="9">
        <f t="shared" si="55"/>
        <v>3683018</v>
      </c>
    </row>
    <row r="2859" spans="7:7" x14ac:dyDescent="0.2">
      <c r="G2859" s="9">
        <f t="shared" si="55"/>
        <v>3683018</v>
      </c>
    </row>
    <row r="2860" spans="7:7" x14ac:dyDescent="0.2">
      <c r="G2860" s="9">
        <f t="shared" si="55"/>
        <v>3683018</v>
      </c>
    </row>
    <row r="2861" spans="7:7" x14ac:dyDescent="0.2">
      <c r="G2861" s="9">
        <f t="shared" si="55"/>
        <v>3683018</v>
      </c>
    </row>
    <row r="2862" spans="7:7" x14ac:dyDescent="0.2">
      <c r="G2862" s="9">
        <f t="shared" si="55"/>
        <v>3683018</v>
      </c>
    </row>
    <row r="2863" spans="7:7" x14ac:dyDescent="0.2">
      <c r="G2863" s="9">
        <f t="shared" si="55"/>
        <v>3683018</v>
      </c>
    </row>
    <row r="2864" spans="7:7" x14ac:dyDescent="0.2">
      <c r="G2864" s="9">
        <f t="shared" si="55"/>
        <v>3683018</v>
      </c>
    </row>
    <row r="2865" spans="7:7" x14ac:dyDescent="0.2">
      <c r="G2865" s="9">
        <f t="shared" si="55"/>
        <v>3683018</v>
      </c>
    </row>
    <row r="2866" spans="7:7" x14ac:dyDescent="0.2">
      <c r="G2866" s="9">
        <f t="shared" si="55"/>
        <v>3683018</v>
      </c>
    </row>
    <row r="2867" spans="7:7" x14ac:dyDescent="0.2">
      <c r="G2867" s="9">
        <f t="shared" si="55"/>
        <v>3683018</v>
      </c>
    </row>
    <row r="2868" spans="7:7" x14ac:dyDescent="0.2">
      <c r="G2868" s="9">
        <f t="shared" si="55"/>
        <v>3683018</v>
      </c>
    </row>
    <row r="2869" spans="7:7" x14ac:dyDescent="0.2">
      <c r="G2869" s="9">
        <f t="shared" si="55"/>
        <v>3683018</v>
      </c>
    </row>
    <row r="2870" spans="7:7" x14ac:dyDescent="0.2">
      <c r="G2870" s="9">
        <f t="shared" si="55"/>
        <v>3683018</v>
      </c>
    </row>
    <row r="2871" spans="7:7" x14ac:dyDescent="0.2">
      <c r="G2871" s="9">
        <f t="shared" si="55"/>
        <v>3683018</v>
      </c>
    </row>
    <row r="2872" spans="7:7" x14ac:dyDescent="0.2">
      <c r="G2872" s="9">
        <f t="shared" si="55"/>
        <v>3683018</v>
      </c>
    </row>
    <row r="2873" spans="7:7" x14ac:dyDescent="0.2">
      <c r="G2873" s="9">
        <f t="shared" si="55"/>
        <v>3683018</v>
      </c>
    </row>
    <row r="2874" spans="7:7" x14ac:dyDescent="0.2">
      <c r="G2874" s="9">
        <f t="shared" si="55"/>
        <v>3683018</v>
      </c>
    </row>
    <row r="2875" spans="7:7" x14ac:dyDescent="0.2">
      <c r="G2875" s="9">
        <f t="shared" si="55"/>
        <v>3683018</v>
      </c>
    </row>
    <row r="2876" spans="7:7" x14ac:dyDescent="0.2">
      <c r="G2876" s="9">
        <f t="shared" si="55"/>
        <v>3683018</v>
      </c>
    </row>
    <row r="2877" spans="7:7" x14ac:dyDescent="0.2">
      <c r="G2877" s="9">
        <f t="shared" si="55"/>
        <v>3683018</v>
      </c>
    </row>
    <row r="2878" spans="7:7" x14ac:dyDescent="0.2">
      <c r="G2878" s="9">
        <f t="shared" si="55"/>
        <v>3683018</v>
      </c>
    </row>
    <row r="2879" spans="7:7" x14ac:dyDescent="0.2">
      <c r="G2879" s="9">
        <f t="shared" si="55"/>
        <v>3683018</v>
      </c>
    </row>
    <row r="2880" spans="7:7" x14ac:dyDescent="0.2">
      <c r="G2880" s="9">
        <f t="shared" si="55"/>
        <v>3683018</v>
      </c>
    </row>
    <row r="2881" spans="7:7" x14ac:dyDescent="0.2">
      <c r="G2881" s="9">
        <f t="shared" si="55"/>
        <v>3683018</v>
      </c>
    </row>
    <row r="2882" spans="7:7" x14ac:dyDescent="0.2">
      <c r="G2882" s="9">
        <f t="shared" si="55"/>
        <v>3683018</v>
      </c>
    </row>
    <row r="2883" spans="7:7" x14ac:dyDescent="0.2">
      <c r="G2883" s="9">
        <f t="shared" si="55"/>
        <v>3683018</v>
      </c>
    </row>
    <row r="2884" spans="7:7" x14ac:dyDescent="0.2">
      <c r="G2884" s="9">
        <f t="shared" si="55"/>
        <v>3683018</v>
      </c>
    </row>
    <row r="2885" spans="7:7" x14ac:dyDescent="0.2">
      <c r="G2885" s="9">
        <f t="shared" si="55"/>
        <v>3683018</v>
      </c>
    </row>
    <row r="2886" spans="7:7" x14ac:dyDescent="0.2">
      <c r="G2886" s="9">
        <f t="shared" si="55"/>
        <v>3683018</v>
      </c>
    </row>
    <row r="2887" spans="7:7" x14ac:dyDescent="0.2">
      <c r="G2887" s="9">
        <f t="shared" si="55"/>
        <v>3683018</v>
      </c>
    </row>
    <row r="2888" spans="7:7" x14ac:dyDescent="0.2">
      <c r="G2888" s="9">
        <f t="shared" si="55"/>
        <v>3683018</v>
      </c>
    </row>
    <row r="2889" spans="7:7" x14ac:dyDescent="0.2">
      <c r="G2889" s="9">
        <f t="shared" si="55"/>
        <v>3683018</v>
      </c>
    </row>
    <row r="2890" spans="7:7" x14ac:dyDescent="0.2">
      <c r="G2890" s="9">
        <f t="shared" si="55"/>
        <v>3683018</v>
      </c>
    </row>
    <row r="2891" spans="7:7" x14ac:dyDescent="0.2">
      <c r="G2891" s="9">
        <f t="shared" si="55"/>
        <v>3683018</v>
      </c>
    </row>
    <row r="2892" spans="7:7" x14ac:dyDescent="0.2">
      <c r="G2892" s="9">
        <f t="shared" si="55"/>
        <v>3683018</v>
      </c>
    </row>
    <row r="2893" spans="7:7" x14ac:dyDescent="0.2">
      <c r="G2893" s="9">
        <f t="shared" si="55"/>
        <v>3683018</v>
      </c>
    </row>
    <row r="2894" spans="7:7" x14ac:dyDescent="0.2">
      <c r="G2894" s="9">
        <f t="shared" si="55"/>
        <v>3683018</v>
      </c>
    </row>
    <row r="2895" spans="7:7" x14ac:dyDescent="0.2">
      <c r="G2895" s="9">
        <f t="shared" si="55"/>
        <v>3683018</v>
      </c>
    </row>
    <row r="2896" spans="7:7" x14ac:dyDescent="0.2">
      <c r="G2896" s="9">
        <f t="shared" si="55"/>
        <v>3683018</v>
      </c>
    </row>
    <row r="2897" spans="7:7" x14ac:dyDescent="0.2">
      <c r="G2897" s="9">
        <f t="shared" si="55"/>
        <v>3683018</v>
      </c>
    </row>
    <row r="2898" spans="7:7" x14ac:dyDescent="0.2">
      <c r="G2898" s="9">
        <f t="shared" si="55"/>
        <v>3683018</v>
      </c>
    </row>
    <row r="2899" spans="7:7" x14ac:dyDescent="0.2">
      <c r="G2899" s="9">
        <f t="shared" si="55"/>
        <v>3683018</v>
      </c>
    </row>
    <row r="2900" spans="7:7" x14ac:dyDescent="0.2">
      <c r="G2900" s="9">
        <f t="shared" ref="G2900:G2963" si="56">G2899+E2900-F2900</f>
        <v>3683018</v>
      </c>
    </row>
    <row r="2901" spans="7:7" x14ac:dyDescent="0.2">
      <c r="G2901" s="9">
        <f t="shared" si="56"/>
        <v>3683018</v>
      </c>
    </row>
    <row r="2902" spans="7:7" x14ac:dyDescent="0.2">
      <c r="G2902" s="9">
        <f t="shared" si="56"/>
        <v>3683018</v>
      </c>
    </row>
    <row r="2903" spans="7:7" x14ac:dyDescent="0.2">
      <c r="G2903" s="9">
        <f t="shared" si="56"/>
        <v>3683018</v>
      </c>
    </row>
    <row r="2904" spans="7:7" x14ac:dyDescent="0.2">
      <c r="G2904" s="9">
        <f t="shared" si="56"/>
        <v>3683018</v>
      </c>
    </row>
    <row r="2905" spans="7:7" x14ac:dyDescent="0.2">
      <c r="G2905" s="9">
        <f t="shared" si="56"/>
        <v>3683018</v>
      </c>
    </row>
    <row r="2906" spans="7:7" x14ac:dyDescent="0.2">
      <c r="G2906" s="9">
        <f t="shared" si="56"/>
        <v>3683018</v>
      </c>
    </row>
    <row r="2907" spans="7:7" x14ac:dyDescent="0.2">
      <c r="G2907" s="9">
        <f t="shared" si="56"/>
        <v>3683018</v>
      </c>
    </row>
    <row r="2908" spans="7:7" x14ac:dyDescent="0.2">
      <c r="G2908" s="9">
        <f t="shared" si="56"/>
        <v>3683018</v>
      </c>
    </row>
    <row r="2909" spans="7:7" x14ac:dyDescent="0.2">
      <c r="G2909" s="9">
        <f t="shared" si="56"/>
        <v>3683018</v>
      </c>
    </row>
    <row r="2910" spans="7:7" x14ac:dyDescent="0.2">
      <c r="G2910" s="9">
        <f t="shared" si="56"/>
        <v>3683018</v>
      </c>
    </row>
    <row r="2911" spans="7:7" x14ac:dyDescent="0.2">
      <c r="G2911" s="9">
        <f t="shared" si="56"/>
        <v>3683018</v>
      </c>
    </row>
    <row r="2912" spans="7:7" x14ac:dyDescent="0.2">
      <c r="G2912" s="9">
        <f t="shared" si="56"/>
        <v>3683018</v>
      </c>
    </row>
    <row r="2913" spans="7:7" x14ac:dyDescent="0.2">
      <c r="G2913" s="9">
        <f t="shared" si="56"/>
        <v>3683018</v>
      </c>
    </row>
    <row r="2914" spans="7:7" x14ac:dyDescent="0.2">
      <c r="G2914" s="9">
        <f t="shared" si="56"/>
        <v>3683018</v>
      </c>
    </row>
    <row r="2915" spans="7:7" x14ac:dyDescent="0.2">
      <c r="G2915" s="9">
        <f t="shared" si="56"/>
        <v>3683018</v>
      </c>
    </row>
    <row r="2916" spans="7:7" x14ac:dyDescent="0.2">
      <c r="G2916" s="9">
        <f t="shared" si="56"/>
        <v>3683018</v>
      </c>
    </row>
    <row r="2917" spans="7:7" x14ac:dyDescent="0.2">
      <c r="G2917" s="9">
        <f t="shared" si="56"/>
        <v>3683018</v>
      </c>
    </row>
    <row r="2918" spans="7:7" x14ac:dyDescent="0.2">
      <c r="G2918" s="9">
        <f t="shared" si="56"/>
        <v>3683018</v>
      </c>
    </row>
    <row r="2919" spans="7:7" x14ac:dyDescent="0.2">
      <c r="G2919" s="9">
        <f t="shared" si="56"/>
        <v>3683018</v>
      </c>
    </row>
    <row r="2920" spans="7:7" x14ac:dyDescent="0.2">
      <c r="G2920" s="9">
        <f t="shared" si="56"/>
        <v>3683018</v>
      </c>
    </row>
    <row r="2921" spans="7:7" x14ac:dyDescent="0.2">
      <c r="G2921" s="9">
        <f t="shared" si="56"/>
        <v>3683018</v>
      </c>
    </row>
    <row r="2922" spans="7:7" x14ac:dyDescent="0.2">
      <c r="G2922" s="9">
        <f t="shared" si="56"/>
        <v>3683018</v>
      </c>
    </row>
    <row r="2923" spans="7:7" x14ac:dyDescent="0.2">
      <c r="G2923" s="9">
        <f t="shared" si="56"/>
        <v>3683018</v>
      </c>
    </row>
    <row r="2924" spans="7:7" x14ac:dyDescent="0.2">
      <c r="G2924" s="9">
        <f t="shared" si="56"/>
        <v>3683018</v>
      </c>
    </row>
    <row r="2925" spans="7:7" x14ac:dyDescent="0.2">
      <c r="G2925" s="9">
        <f t="shared" si="56"/>
        <v>3683018</v>
      </c>
    </row>
    <row r="2926" spans="7:7" x14ac:dyDescent="0.2">
      <c r="G2926" s="9">
        <f t="shared" si="56"/>
        <v>3683018</v>
      </c>
    </row>
    <row r="2927" spans="7:7" x14ac:dyDescent="0.2">
      <c r="G2927" s="9">
        <f t="shared" si="56"/>
        <v>3683018</v>
      </c>
    </row>
    <row r="2928" spans="7:7" x14ac:dyDescent="0.2">
      <c r="G2928" s="9">
        <f t="shared" si="56"/>
        <v>3683018</v>
      </c>
    </row>
    <row r="2929" spans="7:7" x14ac:dyDescent="0.2">
      <c r="G2929" s="9">
        <f t="shared" si="56"/>
        <v>3683018</v>
      </c>
    </row>
    <row r="2930" spans="7:7" x14ac:dyDescent="0.2">
      <c r="G2930" s="9">
        <f t="shared" si="56"/>
        <v>3683018</v>
      </c>
    </row>
    <row r="2931" spans="7:7" x14ac:dyDescent="0.2">
      <c r="G2931" s="9">
        <f t="shared" si="56"/>
        <v>3683018</v>
      </c>
    </row>
    <row r="2932" spans="7:7" x14ac:dyDescent="0.2">
      <c r="G2932" s="9">
        <f t="shared" si="56"/>
        <v>3683018</v>
      </c>
    </row>
    <row r="2933" spans="7:7" x14ac:dyDescent="0.2">
      <c r="G2933" s="9">
        <f t="shared" si="56"/>
        <v>3683018</v>
      </c>
    </row>
    <row r="2934" spans="7:7" x14ac:dyDescent="0.2">
      <c r="G2934" s="9">
        <f t="shared" si="56"/>
        <v>3683018</v>
      </c>
    </row>
    <row r="2935" spans="7:7" x14ac:dyDescent="0.2">
      <c r="G2935" s="9">
        <f t="shared" si="56"/>
        <v>3683018</v>
      </c>
    </row>
    <row r="2936" spans="7:7" x14ac:dyDescent="0.2">
      <c r="G2936" s="9">
        <f t="shared" si="56"/>
        <v>3683018</v>
      </c>
    </row>
    <row r="2937" spans="7:7" x14ac:dyDescent="0.2">
      <c r="G2937" s="9">
        <f t="shared" si="56"/>
        <v>3683018</v>
      </c>
    </row>
    <row r="2938" spans="7:7" x14ac:dyDescent="0.2">
      <c r="G2938" s="9">
        <f t="shared" si="56"/>
        <v>3683018</v>
      </c>
    </row>
    <row r="2939" spans="7:7" x14ac:dyDescent="0.2">
      <c r="G2939" s="9">
        <f t="shared" si="56"/>
        <v>3683018</v>
      </c>
    </row>
    <row r="2940" spans="7:7" x14ac:dyDescent="0.2">
      <c r="G2940" s="9">
        <f t="shared" si="56"/>
        <v>3683018</v>
      </c>
    </row>
    <row r="2941" spans="7:7" x14ac:dyDescent="0.2">
      <c r="G2941" s="9">
        <f t="shared" si="56"/>
        <v>3683018</v>
      </c>
    </row>
    <row r="2942" spans="7:7" x14ac:dyDescent="0.2">
      <c r="G2942" s="9">
        <f t="shared" si="56"/>
        <v>3683018</v>
      </c>
    </row>
    <row r="2943" spans="7:7" x14ac:dyDescent="0.2">
      <c r="G2943" s="9">
        <f t="shared" si="56"/>
        <v>3683018</v>
      </c>
    </row>
    <row r="2944" spans="7:7" x14ac:dyDescent="0.2">
      <c r="G2944" s="9">
        <f t="shared" si="56"/>
        <v>3683018</v>
      </c>
    </row>
    <row r="2945" spans="7:7" x14ac:dyDescent="0.2">
      <c r="G2945" s="9">
        <f t="shared" si="56"/>
        <v>3683018</v>
      </c>
    </row>
    <row r="2946" spans="7:7" x14ac:dyDescent="0.2">
      <c r="G2946" s="9">
        <f t="shared" si="56"/>
        <v>3683018</v>
      </c>
    </row>
    <row r="2947" spans="7:7" x14ac:dyDescent="0.2">
      <c r="G2947" s="9">
        <f t="shared" si="56"/>
        <v>3683018</v>
      </c>
    </row>
    <row r="2948" spans="7:7" x14ac:dyDescent="0.2">
      <c r="G2948" s="9">
        <f t="shared" si="56"/>
        <v>3683018</v>
      </c>
    </row>
    <row r="2949" spans="7:7" x14ac:dyDescent="0.2">
      <c r="G2949" s="9">
        <f t="shared" si="56"/>
        <v>3683018</v>
      </c>
    </row>
    <row r="2950" spans="7:7" x14ac:dyDescent="0.2">
      <c r="G2950" s="9">
        <f t="shared" si="56"/>
        <v>3683018</v>
      </c>
    </row>
    <row r="2951" spans="7:7" x14ac:dyDescent="0.2">
      <c r="G2951" s="9">
        <f t="shared" si="56"/>
        <v>3683018</v>
      </c>
    </row>
    <row r="2952" spans="7:7" x14ac:dyDescent="0.2">
      <c r="G2952" s="9">
        <f t="shared" si="56"/>
        <v>3683018</v>
      </c>
    </row>
    <row r="2953" spans="7:7" x14ac:dyDescent="0.2">
      <c r="G2953" s="9">
        <f t="shared" si="56"/>
        <v>3683018</v>
      </c>
    </row>
    <row r="2954" spans="7:7" x14ac:dyDescent="0.2">
      <c r="G2954" s="9">
        <f t="shared" si="56"/>
        <v>3683018</v>
      </c>
    </row>
    <row r="2955" spans="7:7" x14ac:dyDescent="0.2">
      <c r="G2955" s="9">
        <f t="shared" si="56"/>
        <v>3683018</v>
      </c>
    </row>
    <row r="2956" spans="7:7" x14ac:dyDescent="0.2">
      <c r="G2956" s="9">
        <f t="shared" si="56"/>
        <v>3683018</v>
      </c>
    </row>
    <row r="2957" spans="7:7" x14ac:dyDescent="0.2">
      <c r="G2957" s="9">
        <f t="shared" si="56"/>
        <v>3683018</v>
      </c>
    </row>
    <row r="2958" spans="7:7" x14ac:dyDescent="0.2">
      <c r="G2958" s="9">
        <f t="shared" si="56"/>
        <v>3683018</v>
      </c>
    </row>
    <row r="2959" spans="7:7" x14ac:dyDescent="0.2">
      <c r="G2959" s="9">
        <f t="shared" si="56"/>
        <v>3683018</v>
      </c>
    </row>
    <row r="2960" spans="7:7" x14ac:dyDescent="0.2">
      <c r="G2960" s="9">
        <f t="shared" si="56"/>
        <v>3683018</v>
      </c>
    </row>
    <row r="2961" spans="7:7" x14ac:dyDescent="0.2">
      <c r="G2961" s="9">
        <f t="shared" si="56"/>
        <v>3683018</v>
      </c>
    </row>
    <row r="2962" spans="7:7" x14ac:dyDescent="0.2">
      <c r="G2962" s="9">
        <f t="shared" si="56"/>
        <v>3683018</v>
      </c>
    </row>
    <row r="2963" spans="7:7" x14ac:dyDescent="0.2">
      <c r="G2963" s="9">
        <f t="shared" si="56"/>
        <v>3683018</v>
      </c>
    </row>
    <row r="2964" spans="7:7" x14ac:dyDescent="0.2">
      <c r="G2964" s="9">
        <f t="shared" ref="G2964:G3027" si="57">G2963+E2964-F2964</f>
        <v>3683018</v>
      </c>
    </row>
    <row r="2965" spans="7:7" x14ac:dyDescent="0.2">
      <c r="G2965" s="9">
        <f t="shared" si="57"/>
        <v>3683018</v>
      </c>
    </row>
    <row r="2966" spans="7:7" x14ac:dyDescent="0.2">
      <c r="G2966" s="9">
        <f t="shared" si="57"/>
        <v>3683018</v>
      </c>
    </row>
    <row r="2967" spans="7:7" x14ac:dyDescent="0.2">
      <c r="G2967" s="9">
        <f t="shared" si="57"/>
        <v>3683018</v>
      </c>
    </row>
    <row r="2968" spans="7:7" x14ac:dyDescent="0.2">
      <c r="G2968" s="9">
        <f t="shared" si="57"/>
        <v>3683018</v>
      </c>
    </row>
    <row r="2969" spans="7:7" x14ac:dyDescent="0.2">
      <c r="G2969" s="9">
        <f t="shared" si="57"/>
        <v>3683018</v>
      </c>
    </row>
    <row r="2970" spans="7:7" x14ac:dyDescent="0.2">
      <c r="G2970" s="9">
        <f t="shared" si="57"/>
        <v>3683018</v>
      </c>
    </row>
    <row r="2971" spans="7:7" x14ac:dyDescent="0.2">
      <c r="G2971" s="9">
        <f t="shared" si="57"/>
        <v>3683018</v>
      </c>
    </row>
    <row r="2972" spans="7:7" x14ac:dyDescent="0.2">
      <c r="G2972" s="9">
        <f t="shared" si="57"/>
        <v>3683018</v>
      </c>
    </row>
    <row r="2973" spans="7:7" x14ac:dyDescent="0.2">
      <c r="G2973" s="9">
        <f t="shared" si="57"/>
        <v>3683018</v>
      </c>
    </row>
    <row r="2974" spans="7:7" x14ac:dyDescent="0.2">
      <c r="G2974" s="9">
        <f t="shared" si="57"/>
        <v>3683018</v>
      </c>
    </row>
    <row r="2975" spans="7:7" x14ac:dyDescent="0.2">
      <c r="G2975" s="9">
        <f t="shared" si="57"/>
        <v>3683018</v>
      </c>
    </row>
    <row r="2976" spans="7:7" x14ac:dyDescent="0.2">
      <c r="G2976" s="9">
        <f t="shared" si="57"/>
        <v>3683018</v>
      </c>
    </row>
    <row r="2977" spans="7:7" x14ac:dyDescent="0.2">
      <c r="G2977" s="9">
        <f t="shared" si="57"/>
        <v>3683018</v>
      </c>
    </row>
    <row r="2978" spans="7:7" x14ac:dyDescent="0.2">
      <c r="G2978" s="9">
        <f t="shared" si="57"/>
        <v>3683018</v>
      </c>
    </row>
    <row r="2979" spans="7:7" x14ac:dyDescent="0.2">
      <c r="G2979" s="9">
        <f t="shared" si="57"/>
        <v>3683018</v>
      </c>
    </row>
    <row r="2980" spans="7:7" x14ac:dyDescent="0.2">
      <c r="G2980" s="9">
        <f t="shared" si="57"/>
        <v>3683018</v>
      </c>
    </row>
    <row r="2981" spans="7:7" x14ac:dyDescent="0.2">
      <c r="G2981" s="9">
        <f t="shared" si="57"/>
        <v>3683018</v>
      </c>
    </row>
    <row r="2982" spans="7:7" x14ac:dyDescent="0.2">
      <c r="G2982" s="9">
        <f t="shared" si="57"/>
        <v>3683018</v>
      </c>
    </row>
    <row r="2983" spans="7:7" x14ac:dyDescent="0.2">
      <c r="G2983" s="9">
        <f t="shared" si="57"/>
        <v>3683018</v>
      </c>
    </row>
    <row r="2984" spans="7:7" x14ac:dyDescent="0.2">
      <c r="G2984" s="9">
        <f t="shared" si="57"/>
        <v>3683018</v>
      </c>
    </row>
    <row r="2985" spans="7:7" x14ac:dyDescent="0.2">
      <c r="G2985" s="9">
        <f t="shared" si="57"/>
        <v>3683018</v>
      </c>
    </row>
    <row r="2986" spans="7:7" x14ac:dyDescent="0.2">
      <c r="G2986" s="9">
        <f t="shared" si="57"/>
        <v>3683018</v>
      </c>
    </row>
    <row r="2987" spans="7:7" x14ac:dyDescent="0.2">
      <c r="G2987" s="9">
        <f t="shared" si="57"/>
        <v>3683018</v>
      </c>
    </row>
    <row r="2988" spans="7:7" x14ac:dyDescent="0.2">
      <c r="G2988" s="9">
        <f t="shared" si="57"/>
        <v>3683018</v>
      </c>
    </row>
    <row r="2989" spans="7:7" x14ac:dyDescent="0.2">
      <c r="G2989" s="9">
        <f t="shared" si="57"/>
        <v>3683018</v>
      </c>
    </row>
    <row r="2990" spans="7:7" x14ac:dyDescent="0.2">
      <c r="G2990" s="9">
        <f t="shared" si="57"/>
        <v>3683018</v>
      </c>
    </row>
    <row r="2991" spans="7:7" x14ac:dyDescent="0.2">
      <c r="G2991" s="9">
        <f t="shared" si="57"/>
        <v>3683018</v>
      </c>
    </row>
    <row r="2992" spans="7:7" x14ac:dyDescent="0.2">
      <c r="G2992" s="9">
        <f t="shared" si="57"/>
        <v>3683018</v>
      </c>
    </row>
    <row r="2993" spans="7:7" x14ac:dyDescent="0.2">
      <c r="G2993" s="9">
        <f t="shared" si="57"/>
        <v>3683018</v>
      </c>
    </row>
    <row r="2994" spans="7:7" x14ac:dyDescent="0.2">
      <c r="G2994" s="9">
        <f t="shared" si="57"/>
        <v>3683018</v>
      </c>
    </row>
    <row r="2995" spans="7:7" x14ac:dyDescent="0.2">
      <c r="G2995" s="9">
        <f t="shared" si="57"/>
        <v>3683018</v>
      </c>
    </row>
    <row r="2996" spans="7:7" x14ac:dyDescent="0.2">
      <c r="G2996" s="9">
        <f t="shared" si="57"/>
        <v>3683018</v>
      </c>
    </row>
    <row r="2997" spans="7:7" x14ac:dyDescent="0.2">
      <c r="G2997" s="9">
        <f t="shared" si="57"/>
        <v>3683018</v>
      </c>
    </row>
    <row r="2998" spans="7:7" x14ac:dyDescent="0.2">
      <c r="G2998" s="9">
        <f t="shared" si="57"/>
        <v>3683018</v>
      </c>
    </row>
    <row r="2999" spans="7:7" x14ac:dyDescent="0.2">
      <c r="G2999" s="9">
        <f t="shared" si="57"/>
        <v>3683018</v>
      </c>
    </row>
    <row r="3000" spans="7:7" x14ac:dyDescent="0.2">
      <c r="G3000" s="9">
        <f t="shared" si="57"/>
        <v>3683018</v>
      </c>
    </row>
    <row r="3001" spans="7:7" x14ac:dyDescent="0.2">
      <c r="G3001" s="9">
        <f t="shared" si="57"/>
        <v>3683018</v>
      </c>
    </row>
    <row r="3002" spans="7:7" x14ac:dyDescent="0.2">
      <c r="G3002" s="9">
        <f t="shared" si="57"/>
        <v>3683018</v>
      </c>
    </row>
    <row r="3003" spans="7:7" x14ac:dyDescent="0.2">
      <c r="G3003" s="9">
        <f t="shared" si="57"/>
        <v>3683018</v>
      </c>
    </row>
    <row r="3004" spans="7:7" x14ac:dyDescent="0.2">
      <c r="G3004" s="9">
        <f t="shared" si="57"/>
        <v>3683018</v>
      </c>
    </row>
    <row r="3005" spans="7:7" x14ac:dyDescent="0.2">
      <c r="G3005" s="9">
        <f t="shared" si="57"/>
        <v>3683018</v>
      </c>
    </row>
    <row r="3006" spans="7:7" x14ac:dyDescent="0.2">
      <c r="G3006" s="9">
        <f t="shared" si="57"/>
        <v>3683018</v>
      </c>
    </row>
    <row r="3007" spans="7:7" x14ac:dyDescent="0.2">
      <c r="G3007" s="9">
        <f t="shared" si="57"/>
        <v>3683018</v>
      </c>
    </row>
    <row r="3008" spans="7:7" x14ac:dyDescent="0.2">
      <c r="G3008" s="9">
        <f t="shared" si="57"/>
        <v>3683018</v>
      </c>
    </row>
    <row r="3009" spans="7:7" x14ac:dyDescent="0.2">
      <c r="G3009" s="9">
        <f t="shared" si="57"/>
        <v>3683018</v>
      </c>
    </row>
    <row r="3010" spans="7:7" x14ac:dyDescent="0.2">
      <c r="G3010" s="9">
        <f t="shared" si="57"/>
        <v>3683018</v>
      </c>
    </row>
    <row r="3011" spans="7:7" x14ac:dyDescent="0.2">
      <c r="G3011" s="9">
        <f t="shared" si="57"/>
        <v>3683018</v>
      </c>
    </row>
    <row r="3012" spans="7:7" x14ac:dyDescent="0.2">
      <c r="G3012" s="9">
        <f t="shared" si="57"/>
        <v>3683018</v>
      </c>
    </row>
    <row r="3013" spans="7:7" x14ac:dyDescent="0.2">
      <c r="G3013" s="9">
        <f t="shared" si="57"/>
        <v>3683018</v>
      </c>
    </row>
    <row r="3014" spans="7:7" x14ac:dyDescent="0.2">
      <c r="G3014" s="9">
        <f t="shared" si="57"/>
        <v>3683018</v>
      </c>
    </row>
    <row r="3015" spans="7:7" x14ac:dyDescent="0.2">
      <c r="G3015" s="9">
        <f t="shared" si="57"/>
        <v>3683018</v>
      </c>
    </row>
    <row r="3016" spans="7:7" x14ac:dyDescent="0.2">
      <c r="G3016" s="9">
        <f t="shared" si="57"/>
        <v>3683018</v>
      </c>
    </row>
    <row r="3017" spans="7:7" x14ac:dyDescent="0.2">
      <c r="G3017" s="9">
        <f t="shared" si="57"/>
        <v>3683018</v>
      </c>
    </row>
    <row r="3018" spans="7:7" x14ac:dyDescent="0.2">
      <c r="G3018" s="9">
        <f t="shared" si="57"/>
        <v>3683018</v>
      </c>
    </row>
    <row r="3019" spans="7:7" x14ac:dyDescent="0.2">
      <c r="G3019" s="9">
        <f t="shared" si="57"/>
        <v>3683018</v>
      </c>
    </row>
    <row r="3020" spans="7:7" x14ac:dyDescent="0.2">
      <c r="G3020" s="9">
        <f t="shared" si="57"/>
        <v>3683018</v>
      </c>
    </row>
    <row r="3021" spans="7:7" x14ac:dyDescent="0.2">
      <c r="G3021" s="9">
        <f t="shared" si="57"/>
        <v>3683018</v>
      </c>
    </row>
    <row r="3022" spans="7:7" x14ac:dyDescent="0.2">
      <c r="G3022" s="9">
        <f t="shared" si="57"/>
        <v>3683018</v>
      </c>
    </row>
    <row r="3023" spans="7:7" x14ac:dyDescent="0.2">
      <c r="G3023" s="9">
        <f t="shared" si="57"/>
        <v>3683018</v>
      </c>
    </row>
    <row r="3024" spans="7:7" x14ac:dyDescent="0.2">
      <c r="G3024" s="9">
        <f t="shared" si="57"/>
        <v>3683018</v>
      </c>
    </row>
    <row r="3025" spans="7:7" x14ac:dyDescent="0.2">
      <c r="G3025" s="9">
        <f t="shared" si="57"/>
        <v>3683018</v>
      </c>
    </row>
    <row r="3026" spans="7:7" x14ac:dyDescent="0.2">
      <c r="G3026" s="9">
        <f t="shared" si="57"/>
        <v>3683018</v>
      </c>
    </row>
    <row r="3027" spans="7:7" x14ac:dyDescent="0.2">
      <c r="G3027" s="9">
        <f t="shared" si="57"/>
        <v>3683018</v>
      </c>
    </row>
    <row r="3028" spans="7:7" x14ac:dyDescent="0.2">
      <c r="G3028" s="9">
        <f t="shared" ref="G3028:G3091" si="58">G3027+E3028-F3028</f>
        <v>3683018</v>
      </c>
    </row>
    <row r="3029" spans="7:7" x14ac:dyDescent="0.2">
      <c r="G3029" s="9">
        <f t="shared" si="58"/>
        <v>3683018</v>
      </c>
    </row>
    <row r="3030" spans="7:7" x14ac:dyDescent="0.2">
      <c r="G3030" s="9">
        <f t="shared" si="58"/>
        <v>3683018</v>
      </c>
    </row>
    <row r="3031" spans="7:7" x14ac:dyDescent="0.2">
      <c r="G3031" s="9">
        <f t="shared" si="58"/>
        <v>3683018</v>
      </c>
    </row>
    <row r="3032" spans="7:7" x14ac:dyDescent="0.2">
      <c r="G3032" s="9">
        <f t="shared" si="58"/>
        <v>3683018</v>
      </c>
    </row>
    <row r="3033" spans="7:7" x14ac:dyDescent="0.2">
      <c r="G3033" s="9">
        <f t="shared" si="58"/>
        <v>3683018</v>
      </c>
    </row>
    <row r="3034" spans="7:7" x14ac:dyDescent="0.2">
      <c r="G3034" s="9">
        <f t="shared" si="58"/>
        <v>3683018</v>
      </c>
    </row>
    <row r="3035" spans="7:7" x14ac:dyDescent="0.2">
      <c r="G3035" s="9">
        <f t="shared" si="58"/>
        <v>3683018</v>
      </c>
    </row>
    <row r="3036" spans="7:7" x14ac:dyDescent="0.2">
      <c r="G3036" s="9">
        <f t="shared" si="58"/>
        <v>3683018</v>
      </c>
    </row>
    <row r="3037" spans="7:7" x14ac:dyDescent="0.2">
      <c r="G3037" s="9">
        <f t="shared" si="58"/>
        <v>3683018</v>
      </c>
    </row>
    <row r="3038" spans="7:7" x14ac:dyDescent="0.2">
      <c r="G3038" s="9">
        <f t="shared" si="58"/>
        <v>3683018</v>
      </c>
    </row>
    <row r="3039" spans="7:7" x14ac:dyDescent="0.2">
      <c r="G3039" s="9">
        <f t="shared" si="58"/>
        <v>3683018</v>
      </c>
    </row>
    <row r="3040" spans="7:7" x14ac:dyDescent="0.2">
      <c r="G3040" s="9">
        <f t="shared" si="58"/>
        <v>3683018</v>
      </c>
    </row>
    <row r="3041" spans="7:7" x14ac:dyDescent="0.2">
      <c r="G3041" s="9">
        <f t="shared" si="58"/>
        <v>3683018</v>
      </c>
    </row>
    <row r="3042" spans="7:7" x14ac:dyDescent="0.2">
      <c r="G3042" s="9">
        <f t="shared" si="58"/>
        <v>3683018</v>
      </c>
    </row>
    <row r="3043" spans="7:7" x14ac:dyDescent="0.2">
      <c r="G3043" s="9">
        <f t="shared" si="58"/>
        <v>3683018</v>
      </c>
    </row>
    <row r="3044" spans="7:7" x14ac:dyDescent="0.2">
      <c r="G3044" s="9">
        <f t="shared" si="58"/>
        <v>3683018</v>
      </c>
    </row>
    <row r="3045" spans="7:7" x14ac:dyDescent="0.2">
      <c r="G3045" s="9">
        <f t="shared" si="58"/>
        <v>3683018</v>
      </c>
    </row>
    <row r="3046" spans="7:7" x14ac:dyDescent="0.2">
      <c r="G3046" s="9">
        <f t="shared" si="58"/>
        <v>3683018</v>
      </c>
    </row>
    <row r="3047" spans="7:7" x14ac:dyDescent="0.2">
      <c r="G3047" s="9">
        <f t="shared" si="58"/>
        <v>3683018</v>
      </c>
    </row>
    <row r="3048" spans="7:7" x14ac:dyDescent="0.2">
      <c r="G3048" s="9">
        <f t="shared" si="58"/>
        <v>3683018</v>
      </c>
    </row>
    <row r="3049" spans="7:7" x14ac:dyDescent="0.2">
      <c r="G3049" s="9">
        <f t="shared" si="58"/>
        <v>3683018</v>
      </c>
    </row>
    <row r="3050" spans="7:7" x14ac:dyDescent="0.2">
      <c r="G3050" s="9">
        <f t="shared" si="58"/>
        <v>3683018</v>
      </c>
    </row>
    <row r="3051" spans="7:7" x14ac:dyDescent="0.2">
      <c r="G3051" s="9">
        <f t="shared" si="58"/>
        <v>3683018</v>
      </c>
    </row>
    <row r="3052" spans="7:7" x14ac:dyDescent="0.2">
      <c r="G3052" s="9">
        <f t="shared" si="58"/>
        <v>3683018</v>
      </c>
    </row>
    <row r="3053" spans="7:7" x14ac:dyDescent="0.2">
      <c r="G3053" s="9">
        <f t="shared" si="58"/>
        <v>3683018</v>
      </c>
    </row>
    <row r="3054" spans="7:7" x14ac:dyDescent="0.2">
      <c r="G3054" s="9">
        <f t="shared" si="58"/>
        <v>3683018</v>
      </c>
    </row>
    <row r="3055" spans="7:7" x14ac:dyDescent="0.2">
      <c r="G3055" s="9">
        <f t="shared" si="58"/>
        <v>3683018</v>
      </c>
    </row>
    <row r="3056" spans="7:7" x14ac:dyDescent="0.2">
      <c r="G3056" s="9">
        <f t="shared" si="58"/>
        <v>3683018</v>
      </c>
    </row>
    <row r="3057" spans="7:7" x14ac:dyDescent="0.2">
      <c r="G3057" s="9">
        <f t="shared" si="58"/>
        <v>3683018</v>
      </c>
    </row>
    <row r="3058" spans="7:7" x14ac:dyDescent="0.2">
      <c r="G3058" s="9">
        <f t="shared" si="58"/>
        <v>3683018</v>
      </c>
    </row>
    <row r="3059" spans="7:7" x14ac:dyDescent="0.2">
      <c r="G3059" s="9">
        <f t="shared" si="58"/>
        <v>3683018</v>
      </c>
    </row>
    <row r="3060" spans="7:7" x14ac:dyDescent="0.2">
      <c r="G3060" s="9">
        <f t="shared" si="58"/>
        <v>3683018</v>
      </c>
    </row>
    <row r="3061" spans="7:7" x14ac:dyDescent="0.2">
      <c r="G3061" s="9">
        <f t="shared" si="58"/>
        <v>3683018</v>
      </c>
    </row>
    <row r="3062" spans="7:7" x14ac:dyDescent="0.2">
      <c r="G3062" s="9">
        <f t="shared" si="58"/>
        <v>3683018</v>
      </c>
    </row>
    <row r="3063" spans="7:7" x14ac:dyDescent="0.2">
      <c r="G3063" s="9">
        <f t="shared" si="58"/>
        <v>3683018</v>
      </c>
    </row>
    <row r="3064" spans="7:7" x14ac:dyDescent="0.2">
      <c r="G3064" s="9">
        <f t="shared" si="58"/>
        <v>3683018</v>
      </c>
    </row>
    <row r="3065" spans="7:7" x14ac:dyDescent="0.2">
      <c r="G3065" s="9">
        <f t="shared" si="58"/>
        <v>3683018</v>
      </c>
    </row>
    <row r="3066" spans="7:7" x14ac:dyDescent="0.2">
      <c r="G3066" s="9">
        <f t="shared" si="58"/>
        <v>3683018</v>
      </c>
    </row>
    <row r="3067" spans="7:7" x14ac:dyDescent="0.2">
      <c r="G3067" s="9">
        <f t="shared" si="58"/>
        <v>3683018</v>
      </c>
    </row>
    <row r="3068" spans="7:7" x14ac:dyDescent="0.2">
      <c r="G3068" s="9">
        <f t="shared" si="58"/>
        <v>3683018</v>
      </c>
    </row>
    <row r="3069" spans="7:7" x14ac:dyDescent="0.2">
      <c r="G3069" s="9">
        <f t="shared" si="58"/>
        <v>3683018</v>
      </c>
    </row>
    <row r="3070" spans="7:7" x14ac:dyDescent="0.2">
      <c r="G3070" s="9">
        <f t="shared" si="58"/>
        <v>3683018</v>
      </c>
    </row>
    <row r="3071" spans="7:7" x14ac:dyDescent="0.2">
      <c r="G3071" s="9">
        <f t="shared" si="58"/>
        <v>3683018</v>
      </c>
    </row>
    <row r="3072" spans="7:7" x14ac:dyDescent="0.2">
      <c r="G3072" s="9">
        <f t="shared" si="58"/>
        <v>3683018</v>
      </c>
    </row>
    <row r="3073" spans="7:7" x14ac:dyDescent="0.2">
      <c r="G3073" s="9">
        <f t="shared" si="58"/>
        <v>3683018</v>
      </c>
    </row>
    <row r="3074" spans="7:7" x14ac:dyDescent="0.2">
      <c r="G3074" s="9">
        <f t="shared" si="58"/>
        <v>3683018</v>
      </c>
    </row>
    <row r="3075" spans="7:7" x14ac:dyDescent="0.2">
      <c r="G3075" s="9">
        <f t="shared" si="58"/>
        <v>3683018</v>
      </c>
    </row>
    <row r="3076" spans="7:7" x14ac:dyDescent="0.2">
      <c r="G3076" s="9">
        <f t="shared" si="58"/>
        <v>3683018</v>
      </c>
    </row>
    <row r="3077" spans="7:7" x14ac:dyDescent="0.2">
      <c r="G3077" s="9">
        <f t="shared" si="58"/>
        <v>3683018</v>
      </c>
    </row>
    <row r="3078" spans="7:7" x14ac:dyDescent="0.2">
      <c r="G3078" s="9">
        <f t="shared" si="58"/>
        <v>3683018</v>
      </c>
    </row>
    <row r="3079" spans="7:7" x14ac:dyDescent="0.2">
      <c r="G3079" s="9">
        <f t="shared" si="58"/>
        <v>3683018</v>
      </c>
    </row>
    <row r="3080" spans="7:7" x14ac:dyDescent="0.2">
      <c r="G3080" s="9">
        <f t="shared" si="58"/>
        <v>3683018</v>
      </c>
    </row>
    <row r="3081" spans="7:7" x14ac:dyDescent="0.2">
      <c r="G3081" s="9">
        <f t="shared" si="58"/>
        <v>3683018</v>
      </c>
    </row>
    <row r="3082" spans="7:7" x14ac:dyDescent="0.2">
      <c r="G3082" s="9">
        <f t="shared" si="58"/>
        <v>3683018</v>
      </c>
    </row>
    <row r="3083" spans="7:7" x14ac:dyDescent="0.2">
      <c r="G3083" s="9">
        <f t="shared" si="58"/>
        <v>3683018</v>
      </c>
    </row>
    <row r="3084" spans="7:7" x14ac:dyDescent="0.2">
      <c r="G3084" s="9">
        <f t="shared" si="58"/>
        <v>3683018</v>
      </c>
    </row>
    <row r="3085" spans="7:7" x14ac:dyDescent="0.2">
      <c r="G3085" s="9">
        <f t="shared" si="58"/>
        <v>3683018</v>
      </c>
    </row>
    <row r="3086" spans="7:7" x14ac:dyDescent="0.2">
      <c r="G3086" s="9">
        <f t="shared" si="58"/>
        <v>3683018</v>
      </c>
    </row>
    <row r="3087" spans="7:7" x14ac:dyDescent="0.2">
      <c r="G3087" s="9">
        <f t="shared" si="58"/>
        <v>3683018</v>
      </c>
    </row>
    <row r="3088" spans="7:7" x14ac:dyDescent="0.2">
      <c r="G3088" s="9">
        <f t="shared" si="58"/>
        <v>3683018</v>
      </c>
    </row>
    <row r="3089" spans="7:7" x14ac:dyDescent="0.2">
      <c r="G3089" s="9">
        <f t="shared" si="58"/>
        <v>3683018</v>
      </c>
    </row>
    <row r="3090" spans="7:7" x14ac:dyDescent="0.2">
      <c r="G3090" s="9">
        <f t="shared" si="58"/>
        <v>3683018</v>
      </c>
    </row>
    <row r="3091" spans="7:7" x14ac:dyDescent="0.2">
      <c r="G3091" s="9">
        <f t="shared" si="58"/>
        <v>3683018</v>
      </c>
    </row>
    <row r="3092" spans="7:7" x14ac:dyDescent="0.2">
      <c r="G3092" s="9">
        <f t="shared" ref="G3092:G3155" si="59">G3091+E3092-F3092</f>
        <v>3683018</v>
      </c>
    </row>
    <row r="3093" spans="7:7" x14ac:dyDescent="0.2">
      <c r="G3093" s="9">
        <f t="shared" si="59"/>
        <v>3683018</v>
      </c>
    </row>
    <row r="3094" spans="7:7" x14ac:dyDescent="0.2">
      <c r="G3094" s="9">
        <f t="shared" si="59"/>
        <v>3683018</v>
      </c>
    </row>
    <row r="3095" spans="7:7" x14ac:dyDescent="0.2">
      <c r="G3095" s="9">
        <f t="shared" si="59"/>
        <v>3683018</v>
      </c>
    </row>
    <row r="3096" spans="7:7" x14ac:dyDescent="0.2">
      <c r="G3096" s="9">
        <f t="shared" si="59"/>
        <v>3683018</v>
      </c>
    </row>
    <row r="3097" spans="7:7" x14ac:dyDescent="0.2">
      <c r="G3097" s="9">
        <f t="shared" si="59"/>
        <v>3683018</v>
      </c>
    </row>
    <row r="3098" spans="7:7" x14ac:dyDescent="0.2">
      <c r="G3098" s="9">
        <f t="shared" si="59"/>
        <v>3683018</v>
      </c>
    </row>
    <row r="3099" spans="7:7" x14ac:dyDescent="0.2">
      <c r="G3099" s="9">
        <f t="shared" si="59"/>
        <v>3683018</v>
      </c>
    </row>
    <row r="3100" spans="7:7" x14ac:dyDescent="0.2">
      <c r="G3100" s="9">
        <f t="shared" si="59"/>
        <v>3683018</v>
      </c>
    </row>
    <row r="3101" spans="7:7" x14ac:dyDescent="0.2">
      <c r="G3101" s="9">
        <f t="shared" si="59"/>
        <v>3683018</v>
      </c>
    </row>
    <row r="3102" spans="7:7" x14ac:dyDescent="0.2">
      <c r="G3102" s="9">
        <f t="shared" si="59"/>
        <v>3683018</v>
      </c>
    </row>
    <row r="3103" spans="7:7" x14ac:dyDescent="0.2">
      <c r="G3103" s="9">
        <f t="shared" si="59"/>
        <v>3683018</v>
      </c>
    </row>
    <row r="3104" spans="7:7" x14ac:dyDescent="0.2">
      <c r="G3104" s="9">
        <f t="shared" si="59"/>
        <v>3683018</v>
      </c>
    </row>
    <row r="3105" spans="7:7" x14ac:dyDescent="0.2">
      <c r="G3105" s="9">
        <f t="shared" si="59"/>
        <v>3683018</v>
      </c>
    </row>
    <row r="3106" spans="7:7" x14ac:dyDescent="0.2">
      <c r="G3106" s="9">
        <f t="shared" si="59"/>
        <v>3683018</v>
      </c>
    </row>
    <row r="3107" spans="7:7" x14ac:dyDescent="0.2">
      <c r="G3107" s="9">
        <f t="shared" si="59"/>
        <v>3683018</v>
      </c>
    </row>
    <row r="3108" spans="7:7" x14ac:dyDescent="0.2">
      <c r="G3108" s="9">
        <f t="shared" si="59"/>
        <v>3683018</v>
      </c>
    </row>
    <row r="3109" spans="7:7" x14ac:dyDescent="0.2">
      <c r="G3109" s="9">
        <f t="shared" si="59"/>
        <v>3683018</v>
      </c>
    </row>
    <row r="3110" spans="7:7" x14ac:dyDescent="0.2">
      <c r="G3110" s="9">
        <f t="shared" si="59"/>
        <v>3683018</v>
      </c>
    </row>
    <row r="3111" spans="7:7" x14ac:dyDescent="0.2">
      <c r="G3111" s="9">
        <f t="shared" si="59"/>
        <v>3683018</v>
      </c>
    </row>
    <row r="3112" spans="7:7" x14ac:dyDescent="0.2">
      <c r="G3112" s="9">
        <f t="shared" si="59"/>
        <v>3683018</v>
      </c>
    </row>
    <row r="3113" spans="7:7" x14ac:dyDescent="0.2">
      <c r="G3113" s="9">
        <f t="shared" si="59"/>
        <v>3683018</v>
      </c>
    </row>
    <row r="3114" spans="7:7" x14ac:dyDescent="0.2">
      <c r="G3114" s="9">
        <f t="shared" si="59"/>
        <v>3683018</v>
      </c>
    </row>
    <row r="3115" spans="7:7" x14ac:dyDescent="0.2">
      <c r="G3115" s="9">
        <f t="shared" si="59"/>
        <v>3683018</v>
      </c>
    </row>
    <row r="3116" spans="7:7" x14ac:dyDescent="0.2">
      <c r="G3116" s="9">
        <f t="shared" si="59"/>
        <v>3683018</v>
      </c>
    </row>
    <row r="3117" spans="7:7" x14ac:dyDescent="0.2">
      <c r="G3117" s="9">
        <f t="shared" si="59"/>
        <v>3683018</v>
      </c>
    </row>
    <row r="3118" spans="7:7" x14ac:dyDescent="0.2">
      <c r="G3118" s="9">
        <f t="shared" si="59"/>
        <v>3683018</v>
      </c>
    </row>
    <row r="3119" spans="7:7" x14ac:dyDescent="0.2">
      <c r="G3119" s="9">
        <f t="shared" si="59"/>
        <v>3683018</v>
      </c>
    </row>
    <row r="3120" spans="7:7" x14ac:dyDescent="0.2">
      <c r="G3120" s="9">
        <f t="shared" si="59"/>
        <v>3683018</v>
      </c>
    </row>
    <row r="3121" spans="7:7" x14ac:dyDescent="0.2">
      <c r="G3121" s="9">
        <f t="shared" si="59"/>
        <v>3683018</v>
      </c>
    </row>
    <row r="3122" spans="7:7" x14ac:dyDescent="0.2">
      <c r="G3122" s="9">
        <f t="shared" si="59"/>
        <v>3683018</v>
      </c>
    </row>
    <row r="3123" spans="7:7" x14ac:dyDescent="0.2">
      <c r="G3123" s="9">
        <f t="shared" si="59"/>
        <v>3683018</v>
      </c>
    </row>
    <row r="3124" spans="7:7" x14ac:dyDescent="0.2">
      <c r="G3124" s="9">
        <f t="shared" si="59"/>
        <v>3683018</v>
      </c>
    </row>
    <row r="3125" spans="7:7" x14ac:dyDescent="0.2">
      <c r="G3125" s="9">
        <f t="shared" si="59"/>
        <v>3683018</v>
      </c>
    </row>
    <row r="3126" spans="7:7" x14ac:dyDescent="0.2">
      <c r="G3126" s="9">
        <f t="shared" si="59"/>
        <v>3683018</v>
      </c>
    </row>
    <row r="3127" spans="7:7" x14ac:dyDescent="0.2">
      <c r="G3127" s="9">
        <f t="shared" si="59"/>
        <v>3683018</v>
      </c>
    </row>
    <row r="3128" spans="7:7" x14ac:dyDescent="0.2">
      <c r="G3128" s="9">
        <f t="shared" si="59"/>
        <v>3683018</v>
      </c>
    </row>
    <row r="3129" spans="7:7" x14ac:dyDescent="0.2">
      <c r="G3129" s="9">
        <f t="shared" si="59"/>
        <v>3683018</v>
      </c>
    </row>
    <row r="3130" spans="7:7" x14ac:dyDescent="0.2">
      <c r="G3130" s="9">
        <f t="shared" si="59"/>
        <v>3683018</v>
      </c>
    </row>
    <row r="3131" spans="7:7" x14ac:dyDescent="0.2">
      <c r="G3131" s="9">
        <f t="shared" si="59"/>
        <v>3683018</v>
      </c>
    </row>
    <row r="3132" spans="7:7" x14ac:dyDescent="0.2">
      <c r="G3132" s="9">
        <f t="shared" si="59"/>
        <v>3683018</v>
      </c>
    </row>
    <row r="3133" spans="7:7" x14ac:dyDescent="0.2">
      <c r="G3133" s="9">
        <f t="shared" si="59"/>
        <v>3683018</v>
      </c>
    </row>
    <row r="3134" spans="7:7" x14ac:dyDescent="0.2">
      <c r="G3134" s="9">
        <f t="shared" si="59"/>
        <v>3683018</v>
      </c>
    </row>
    <row r="3135" spans="7:7" x14ac:dyDescent="0.2">
      <c r="G3135" s="9">
        <f t="shared" si="59"/>
        <v>3683018</v>
      </c>
    </row>
    <row r="3136" spans="7:7" x14ac:dyDescent="0.2">
      <c r="G3136" s="9">
        <f t="shared" si="59"/>
        <v>3683018</v>
      </c>
    </row>
    <row r="3137" spans="7:7" x14ac:dyDescent="0.2">
      <c r="G3137" s="9">
        <f t="shared" si="59"/>
        <v>3683018</v>
      </c>
    </row>
    <row r="3138" spans="7:7" x14ac:dyDescent="0.2">
      <c r="G3138" s="9">
        <f t="shared" si="59"/>
        <v>3683018</v>
      </c>
    </row>
    <row r="3139" spans="7:7" x14ac:dyDescent="0.2">
      <c r="G3139" s="9">
        <f t="shared" si="59"/>
        <v>3683018</v>
      </c>
    </row>
    <row r="3140" spans="7:7" x14ac:dyDescent="0.2">
      <c r="G3140" s="9">
        <f t="shared" si="59"/>
        <v>3683018</v>
      </c>
    </row>
    <row r="3141" spans="7:7" x14ac:dyDescent="0.2">
      <c r="G3141" s="9">
        <f t="shared" si="59"/>
        <v>3683018</v>
      </c>
    </row>
    <row r="3142" spans="7:7" x14ac:dyDescent="0.2">
      <c r="G3142" s="9">
        <f t="shared" si="59"/>
        <v>3683018</v>
      </c>
    </row>
    <row r="3143" spans="7:7" x14ac:dyDescent="0.2">
      <c r="G3143" s="9">
        <f t="shared" si="59"/>
        <v>3683018</v>
      </c>
    </row>
    <row r="3144" spans="7:7" x14ac:dyDescent="0.2">
      <c r="G3144" s="9">
        <f t="shared" si="59"/>
        <v>3683018</v>
      </c>
    </row>
    <row r="3145" spans="7:7" x14ac:dyDescent="0.2">
      <c r="G3145" s="9">
        <f t="shared" si="59"/>
        <v>3683018</v>
      </c>
    </row>
    <row r="3146" spans="7:7" x14ac:dyDescent="0.2">
      <c r="G3146" s="9">
        <f t="shared" si="59"/>
        <v>3683018</v>
      </c>
    </row>
    <row r="3147" spans="7:7" x14ac:dyDescent="0.2">
      <c r="G3147" s="9">
        <f t="shared" si="59"/>
        <v>3683018</v>
      </c>
    </row>
    <row r="3148" spans="7:7" x14ac:dyDescent="0.2">
      <c r="G3148" s="9">
        <f t="shared" si="59"/>
        <v>3683018</v>
      </c>
    </row>
    <row r="3149" spans="7:7" x14ac:dyDescent="0.2">
      <c r="G3149" s="9">
        <f t="shared" si="59"/>
        <v>3683018</v>
      </c>
    </row>
    <row r="3150" spans="7:7" x14ac:dyDescent="0.2">
      <c r="G3150" s="9">
        <f t="shared" si="59"/>
        <v>3683018</v>
      </c>
    </row>
    <row r="3151" spans="7:7" x14ac:dyDescent="0.2">
      <c r="G3151" s="9">
        <f t="shared" si="59"/>
        <v>3683018</v>
      </c>
    </row>
    <row r="3152" spans="7:7" x14ac:dyDescent="0.2">
      <c r="G3152" s="9">
        <f t="shared" si="59"/>
        <v>3683018</v>
      </c>
    </row>
    <row r="3153" spans="7:7" x14ac:dyDescent="0.2">
      <c r="G3153" s="9">
        <f t="shared" si="59"/>
        <v>3683018</v>
      </c>
    </row>
    <row r="3154" spans="7:7" x14ac:dyDescent="0.2">
      <c r="G3154" s="9">
        <f t="shared" si="59"/>
        <v>3683018</v>
      </c>
    </row>
    <row r="3155" spans="7:7" x14ac:dyDescent="0.2">
      <c r="G3155" s="9">
        <f t="shared" si="59"/>
        <v>3683018</v>
      </c>
    </row>
    <row r="3156" spans="7:7" x14ac:dyDescent="0.2">
      <c r="G3156" s="9">
        <f t="shared" ref="G3156:G3219" si="60">G3155+E3156-F3156</f>
        <v>3683018</v>
      </c>
    </row>
    <row r="3157" spans="7:7" x14ac:dyDescent="0.2">
      <c r="G3157" s="9">
        <f t="shared" si="60"/>
        <v>3683018</v>
      </c>
    </row>
    <row r="3158" spans="7:7" x14ac:dyDescent="0.2">
      <c r="G3158" s="9">
        <f t="shared" si="60"/>
        <v>3683018</v>
      </c>
    </row>
    <row r="3159" spans="7:7" x14ac:dyDescent="0.2">
      <c r="G3159" s="9">
        <f t="shared" si="60"/>
        <v>3683018</v>
      </c>
    </row>
    <row r="3160" spans="7:7" x14ac:dyDescent="0.2">
      <c r="G3160" s="9">
        <f t="shared" si="60"/>
        <v>3683018</v>
      </c>
    </row>
    <row r="3161" spans="7:7" x14ac:dyDescent="0.2">
      <c r="G3161" s="9">
        <f t="shared" si="60"/>
        <v>3683018</v>
      </c>
    </row>
    <row r="3162" spans="7:7" x14ac:dyDescent="0.2">
      <c r="G3162" s="9">
        <f t="shared" si="60"/>
        <v>3683018</v>
      </c>
    </row>
    <row r="3163" spans="7:7" x14ac:dyDescent="0.2">
      <c r="G3163" s="9">
        <f t="shared" si="60"/>
        <v>3683018</v>
      </c>
    </row>
    <row r="3164" spans="7:7" x14ac:dyDescent="0.2">
      <c r="G3164" s="9">
        <f t="shared" si="60"/>
        <v>3683018</v>
      </c>
    </row>
    <row r="3165" spans="7:7" x14ac:dyDescent="0.2">
      <c r="G3165" s="9">
        <f t="shared" si="60"/>
        <v>3683018</v>
      </c>
    </row>
    <row r="3166" spans="7:7" x14ac:dyDescent="0.2">
      <c r="G3166" s="9">
        <f t="shared" si="60"/>
        <v>3683018</v>
      </c>
    </row>
    <row r="3167" spans="7:7" x14ac:dyDescent="0.2">
      <c r="G3167" s="9">
        <f t="shared" si="60"/>
        <v>3683018</v>
      </c>
    </row>
    <row r="3168" spans="7:7" x14ac:dyDescent="0.2">
      <c r="G3168" s="9">
        <f t="shared" si="60"/>
        <v>3683018</v>
      </c>
    </row>
    <row r="3169" spans="7:7" x14ac:dyDescent="0.2">
      <c r="G3169" s="9">
        <f t="shared" si="60"/>
        <v>3683018</v>
      </c>
    </row>
    <row r="3170" spans="7:7" x14ac:dyDescent="0.2">
      <c r="G3170" s="9">
        <f t="shared" si="60"/>
        <v>3683018</v>
      </c>
    </row>
    <row r="3171" spans="7:7" x14ac:dyDescent="0.2">
      <c r="G3171" s="9">
        <f t="shared" si="60"/>
        <v>3683018</v>
      </c>
    </row>
    <row r="3172" spans="7:7" x14ac:dyDescent="0.2">
      <c r="G3172" s="9">
        <f t="shared" si="60"/>
        <v>3683018</v>
      </c>
    </row>
    <row r="3173" spans="7:7" x14ac:dyDescent="0.2">
      <c r="G3173" s="9">
        <f t="shared" si="60"/>
        <v>3683018</v>
      </c>
    </row>
    <row r="3174" spans="7:7" x14ac:dyDescent="0.2">
      <c r="G3174" s="9">
        <f t="shared" si="60"/>
        <v>3683018</v>
      </c>
    </row>
    <row r="3175" spans="7:7" x14ac:dyDescent="0.2">
      <c r="G3175" s="9">
        <f t="shared" si="60"/>
        <v>3683018</v>
      </c>
    </row>
    <row r="3176" spans="7:7" x14ac:dyDescent="0.2">
      <c r="G3176" s="9">
        <f t="shared" si="60"/>
        <v>3683018</v>
      </c>
    </row>
    <row r="3177" spans="7:7" x14ac:dyDescent="0.2">
      <c r="G3177" s="9">
        <f t="shared" si="60"/>
        <v>3683018</v>
      </c>
    </row>
    <row r="3178" spans="7:7" x14ac:dyDescent="0.2">
      <c r="G3178" s="9">
        <f t="shared" si="60"/>
        <v>3683018</v>
      </c>
    </row>
    <row r="3179" spans="7:7" x14ac:dyDescent="0.2">
      <c r="G3179" s="9">
        <f t="shared" si="60"/>
        <v>3683018</v>
      </c>
    </row>
    <row r="3180" spans="7:7" x14ac:dyDescent="0.2">
      <c r="G3180" s="9">
        <f t="shared" si="60"/>
        <v>3683018</v>
      </c>
    </row>
    <row r="3181" spans="7:7" x14ac:dyDescent="0.2">
      <c r="G3181" s="9">
        <f t="shared" si="60"/>
        <v>3683018</v>
      </c>
    </row>
    <row r="3182" spans="7:7" x14ac:dyDescent="0.2">
      <c r="G3182" s="9">
        <f t="shared" si="60"/>
        <v>3683018</v>
      </c>
    </row>
    <row r="3183" spans="7:7" x14ac:dyDescent="0.2">
      <c r="G3183" s="9">
        <f t="shared" si="60"/>
        <v>3683018</v>
      </c>
    </row>
    <row r="3184" spans="7:7" x14ac:dyDescent="0.2">
      <c r="G3184" s="9">
        <f t="shared" si="60"/>
        <v>3683018</v>
      </c>
    </row>
    <row r="3185" spans="7:7" x14ac:dyDescent="0.2">
      <c r="G3185" s="9">
        <f t="shared" si="60"/>
        <v>3683018</v>
      </c>
    </row>
    <row r="3186" spans="7:7" x14ac:dyDescent="0.2">
      <c r="G3186" s="9">
        <f t="shared" si="60"/>
        <v>3683018</v>
      </c>
    </row>
    <row r="3187" spans="7:7" x14ac:dyDescent="0.2">
      <c r="G3187" s="9">
        <f t="shared" si="60"/>
        <v>3683018</v>
      </c>
    </row>
    <row r="3188" spans="7:7" x14ac:dyDescent="0.2">
      <c r="G3188" s="9">
        <f t="shared" si="60"/>
        <v>3683018</v>
      </c>
    </row>
    <row r="3189" spans="7:7" x14ac:dyDescent="0.2">
      <c r="G3189" s="9">
        <f t="shared" si="60"/>
        <v>3683018</v>
      </c>
    </row>
    <row r="3190" spans="7:7" x14ac:dyDescent="0.2">
      <c r="G3190" s="9">
        <f t="shared" si="60"/>
        <v>3683018</v>
      </c>
    </row>
    <row r="3191" spans="7:7" x14ac:dyDescent="0.2">
      <c r="G3191" s="9">
        <f t="shared" si="60"/>
        <v>3683018</v>
      </c>
    </row>
    <row r="3192" spans="7:7" x14ac:dyDescent="0.2">
      <c r="G3192" s="9">
        <f t="shared" si="60"/>
        <v>3683018</v>
      </c>
    </row>
    <row r="3193" spans="7:7" x14ac:dyDescent="0.2">
      <c r="G3193" s="9">
        <f t="shared" si="60"/>
        <v>3683018</v>
      </c>
    </row>
    <row r="3194" spans="7:7" x14ac:dyDescent="0.2">
      <c r="G3194" s="9">
        <f t="shared" si="60"/>
        <v>3683018</v>
      </c>
    </row>
    <row r="3195" spans="7:7" x14ac:dyDescent="0.2">
      <c r="G3195" s="9">
        <f t="shared" si="60"/>
        <v>3683018</v>
      </c>
    </row>
    <row r="3196" spans="7:7" x14ac:dyDescent="0.2">
      <c r="G3196" s="9">
        <f t="shared" si="60"/>
        <v>3683018</v>
      </c>
    </row>
    <row r="3197" spans="7:7" x14ac:dyDescent="0.2">
      <c r="G3197" s="9">
        <f t="shared" si="60"/>
        <v>3683018</v>
      </c>
    </row>
    <row r="3198" spans="7:7" x14ac:dyDescent="0.2">
      <c r="G3198" s="9">
        <f t="shared" si="60"/>
        <v>3683018</v>
      </c>
    </row>
    <row r="3199" spans="7:7" x14ac:dyDescent="0.2">
      <c r="G3199" s="9">
        <f t="shared" si="60"/>
        <v>3683018</v>
      </c>
    </row>
    <row r="3200" spans="7:7" x14ac:dyDescent="0.2">
      <c r="G3200" s="9">
        <f t="shared" si="60"/>
        <v>3683018</v>
      </c>
    </row>
    <row r="3201" spans="7:7" x14ac:dyDescent="0.2">
      <c r="G3201" s="9">
        <f t="shared" si="60"/>
        <v>3683018</v>
      </c>
    </row>
    <row r="3202" spans="7:7" x14ac:dyDescent="0.2">
      <c r="G3202" s="9">
        <f t="shared" si="60"/>
        <v>3683018</v>
      </c>
    </row>
    <row r="3203" spans="7:7" x14ac:dyDescent="0.2">
      <c r="G3203" s="9">
        <f t="shared" si="60"/>
        <v>3683018</v>
      </c>
    </row>
    <row r="3204" spans="7:7" x14ac:dyDescent="0.2">
      <c r="G3204" s="9">
        <f t="shared" si="60"/>
        <v>3683018</v>
      </c>
    </row>
    <row r="3205" spans="7:7" x14ac:dyDescent="0.2">
      <c r="G3205" s="9">
        <f t="shared" si="60"/>
        <v>3683018</v>
      </c>
    </row>
    <row r="3206" spans="7:7" x14ac:dyDescent="0.2">
      <c r="G3206" s="9">
        <f t="shared" si="60"/>
        <v>3683018</v>
      </c>
    </row>
    <row r="3207" spans="7:7" x14ac:dyDescent="0.2">
      <c r="G3207" s="9">
        <f t="shared" si="60"/>
        <v>3683018</v>
      </c>
    </row>
    <row r="3208" spans="7:7" x14ac:dyDescent="0.2">
      <c r="G3208" s="9">
        <f t="shared" si="60"/>
        <v>3683018</v>
      </c>
    </row>
    <row r="3209" spans="7:7" x14ac:dyDescent="0.2">
      <c r="G3209" s="9">
        <f t="shared" si="60"/>
        <v>3683018</v>
      </c>
    </row>
    <row r="3210" spans="7:7" x14ac:dyDescent="0.2">
      <c r="G3210" s="9">
        <f t="shared" si="60"/>
        <v>3683018</v>
      </c>
    </row>
    <row r="3211" spans="7:7" x14ac:dyDescent="0.2">
      <c r="G3211" s="9">
        <f t="shared" si="60"/>
        <v>3683018</v>
      </c>
    </row>
    <row r="3212" spans="7:7" x14ac:dyDescent="0.2">
      <c r="G3212" s="9">
        <f t="shared" si="60"/>
        <v>3683018</v>
      </c>
    </row>
    <row r="3213" spans="7:7" x14ac:dyDescent="0.2">
      <c r="G3213" s="9">
        <f t="shared" si="60"/>
        <v>3683018</v>
      </c>
    </row>
    <row r="3214" spans="7:7" x14ac:dyDescent="0.2">
      <c r="G3214" s="9">
        <f t="shared" si="60"/>
        <v>3683018</v>
      </c>
    </row>
    <row r="3215" spans="7:7" x14ac:dyDescent="0.2">
      <c r="G3215" s="9">
        <f t="shared" si="60"/>
        <v>3683018</v>
      </c>
    </row>
    <row r="3216" spans="7:7" x14ac:dyDescent="0.2">
      <c r="G3216" s="9">
        <f t="shared" si="60"/>
        <v>3683018</v>
      </c>
    </row>
    <row r="3217" spans="7:7" x14ac:dyDescent="0.2">
      <c r="G3217" s="9">
        <f t="shared" si="60"/>
        <v>3683018</v>
      </c>
    </row>
    <row r="3218" spans="7:7" x14ac:dyDescent="0.2">
      <c r="G3218" s="9">
        <f t="shared" si="60"/>
        <v>3683018</v>
      </c>
    </row>
    <row r="3219" spans="7:7" x14ac:dyDescent="0.2">
      <c r="G3219" s="9">
        <f t="shared" si="60"/>
        <v>3683018</v>
      </c>
    </row>
    <row r="3220" spans="7:7" x14ac:dyDescent="0.2">
      <c r="G3220" s="9">
        <f t="shared" ref="G3220:G3283" si="61">G3219+E3220-F3220</f>
        <v>3683018</v>
      </c>
    </row>
    <row r="3221" spans="7:7" x14ac:dyDescent="0.2">
      <c r="G3221" s="9">
        <f t="shared" si="61"/>
        <v>3683018</v>
      </c>
    </row>
    <row r="3222" spans="7:7" x14ac:dyDescent="0.2">
      <c r="G3222" s="9">
        <f t="shared" si="61"/>
        <v>3683018</v>
      </c>
    </row>
    <row r="3223" spans="7:7" x14ac:dyDescent="0.2">
      <c r="G3223" s="9">
        <f t="shared" si="61"/>
        <v>3683018</v>
      </c>
    </row>
    <row r="3224" spans="7:7" x14ac:dyDescent="0.2">
      <c r="G3224" s="9">
        <f t="shared" si="61"/>
        <v>3683018</v>
      </c>
    </row>
    <row r="3225" spans="7:7" x14ac:dyDescent="0.2">
      <c r="G3225" s="9">
        <f t="shared" si="61"/>
        <v>3683018</v>
      </c>
    </row>
    <row r="3226" spans="7:7" x14ac:dyDescent="0.2">
      <c r="G3226" s="9">
        <f t="shared" si="61"/>
        <v>3683018</v>
      </c>
    </row>
    <row r="3227" spans="7:7" x14ac:dyDescent="0.2">
      <c r="G3227" s="9">
        <f t="shared" si="61"/>
        <v>3683018</v>
      </c>
    </row>
    <row r="3228" spans="7:7" x14ac:dyDescent="0.2">
      <c r="G3228" s="9">
        <f t="shared" si="61"/>
        <v>3683018</v>
      </c>
    </row>
    <row r="3229" spans="7:7" x14ac:dyDescent="0.2">
      <c r="G3229" s="9">
        <f t="shared" si="61"/>
        <v>3683018</v>
      </c>
    </row>
    <row r="3230" spans="7:7" x14ac:dyDescent="0.2">
      <c r="G3230" s="9">
        <f t="shared" si="61"/>
        <v>3683018</v>
      </c>
    </row>
    <row r="3231" spans="7:7" x14ac:dyDescent="0.2">
      <c r="G3231" s="9">
        <f t="shared" si="61"/>
        <v>3683018</v>
      </c>
    </row>
    <row r="3232" spans="7:7" x14ac:dyDescent="0.2">
      <c r="G3232" s="9">
        <f t="shared" si="61"/>
        <v>3683018</v>
      </c>
    </row>
    <row r="3233" spans="7:7" x14ac:dyDescent="0.2">
      <c r="G3233" s="9">
        <f t="shared" si="61"/>
        <v>3683018</v>
      </c>
    </row>
    <row r="3234" spans="7:7" x14ac:dyDescent="0.2">
      <c r="G3234" s="9">
        <f t="shared" si="61"/>
        <v>3683018</v>
      </c>
    </row>
    <row r="3235" spans="7:7" x14ac:dyDescent="0.2">
      <c r="G3235" s="9">
        <f t="shared" si="61"/>
        <v>3683018</v>
      </c>
    </row>
    <row r="3236" spans="7:7" x14ac:dyDescent="0.2">
      <c r="G3236" s="9">
        <f t="shared" si="61"/>
        <v>3683018</v>
      </c>
    </row>
    <row r="3237" spans="7:7" x14ac:dyDescent="0.2">
      <c r="G3237" s="9">
        <f t="shared" si="61"/>
        <v>3683018</v>
      </c>
    </row>
    <row r="3238" spans="7:7" x14ac:dyDescent="0.2">
      <c r="G3238" s="9">
        <f t="shared" si="61"/>
        <v>3683018</v>
      </c>
    </row>
    <row r="3239" spans="7:7" x14ac:dyDescent="0.2">
      <c r="G3239" s="9">
        <f t="shared" si="61"/>
        <v>3683018</v>
      </c>
    </row>
    <row r="3240" spans="7:7" x14ac:dyDescent="0.2">
      <c r="G3240" s="9">
        <f t="shared" si="61"/>
        <v>3683018</v>
      </c>
    </row>
    <row r="3241" spans="7:7" x14ac:dyDescent="0.2">
      <c r="G3241" s="9">
        <f t="shared" si="61"/>
        <v>3683018</v>
      </c>
    </row>
    <row r="3242" spans="7:7" x14ac:dyDescent="0.2">
      <c r="G3242" s="9">
        <f t="shared" si="61"/>
        <v>3683018</v>
      </c>
    </row>
    <row r="3243" spans="7:7" x14ac:dyDescent="0.2">
      <c r="G3243" s="9">
        <f t="shared" si="61"/>
        <v>3683018</v>
      </c>
    </row>
    <row r="3244" spans="7:7" x14ac:dyDescent="0.2">
      <c r="G3244" s="9">
        <f t="shared" si="61"/>
        <v>3683018</v>
      </c>
    </row>
    <row r="3245" spans="7:7" x14ac:dyDescent="0.2">
      <c r="G3245" s="9">
        <f t="shared" si="61"/>
        <v>3683018</v>
      </c>
    </row>
    <row r="3246" spans="7:7" x14ac:dyDescent="0.2">
      <c r="G3246" s="9">
        <f t="shared" si="61"/>
        <v>3683018</v>
      </c>
    </row>
    <row r="3247" spans="7:7" x14ac:dyDescent="0.2">
      <c r="G3247" s="9">
        <f t="shared" si="61"/>
        <v>3683018</v>
      </c>
    </row>
    <row r="3248" spans="7:7" x14ac:dyDescent="0.2">
      <c r="G3248" s="9">
        <f t="shared" si="61"/>
        <v>3683018</v>
      </c>
    </row>
    <row r="3249" spans="7:7" x14ac:dyDescent="0.2">
      <c r="G3249" s="9">
        <f t="shared" si="61"/>
        <v>3683018</v>
      </c>
    </row>
    <row r="3250" spans="7:7" x14ac:dyDescent="0.2">
      <c r="G3250" s="9">
        <f t="shared" si="61"/>
        <v>3683018</v>
      </c>
    </row>
    <row r="3251" spans="7:7" x14ac:dyDescent="0.2">
      <c r="G3251" s="9">
        <f t="shared" si="61"/>
        <v>3683018</v>
      </c>
    </row>
    <row r="3252" spans="7:7" x14ac:dyDescent="0.2">
      <c r="G3252" s="9">
        <f t="shared" si="61"/>
        <v>3683018</v>
      </c>
    </row>
    <row r="3253" spans="7:7" x14ac:dyDescent="0.2">
      <c r="G3253" s="9">
        <f t="shared" si="61"/>
        <v>3683018</v>
      </c>
    </row>
    <row r="3254" spans="7:7" x14ac:dyDescent="0.2">
      <c r="G3254" s="9">
        <f t="shared" si="61"/>
        <v>3683018</v>
      </c>
    </row>
    <row r="3255" spans="7:7" x14ac:dyDescent="0.2">
      <c r="G3255" s="9">
        <f t="shared" si="61"/>
        <v>3683018</v>
      </c>
    </row>
    <row r="3256" spans="7:7" x14ac:dyDescent="0.2">
      <c r="G3256" s="9">
        <f t="shared" si="61"/>
        <v>3683018</v>
      </c>
    </row>
    <row r="3257" spans="7:7" x14ac:dyDescent="0.2">
      <c r="G3257" s="9">
        <f t="shared" si="61"/>
        <v>3683018</v>
      </c>
    </row>
    <row r="3258" spans="7:7" x14ac:dyDescent="0.2">
      <c r="G3258" s="9">
        <f t="shared" si="61"/>
        <v>3683018</v>
      </c>
    </row>
    <row r="3259" spans="7:7" x14ac:dyDescent="0.2">
      <c r="G3259" s="9">
        <f t="shared" si="61"/>
        <v>3683018</v>
      </c>
    </row>
    <row r="3260" spans="7:7" x14ac:dyDescent="0.2">
      <c r="G3260" s="9">
        <f t="shared" si="61"/>
        <v>3683018</v>
      </c>
    </row>
    <row r="3261" spans="7:7" x14ac:dyDescent="0.2">
      <c r="G3261" s="9">
        <f t="shared" si="61"/>
        <v>3683018</v>
      </c>
    </row>
    <row r="3262" spans="7:7" x14ac:dyDescent="0.2">
      <c r="G3262" s="9">
        <f t="shared" si="61"/>
        <v>3683018</v>
      </c>
    </row>
    <row r="3263" spans="7:7" x14ac:dyDescent="0.2">
      <c r="G3263" s="9">
        <f t="shared" si="61"/>
        <v>3683018</v>
      </c>
    </row>
    <row r="3264" spans="7:7" x14ac:dyDescent="0.2">
      <c r="G3264" s="9">
        <f t="shared" si="61"/>
        <v>3683018</v>
      </c>
    </row>
    <row r="3265" spans="7:7" x14ac:dyDescent="0.2">
      <c r="G3265" s="9">
        <f t="shared" si="61"/>
        <v>3683018</v>
      </c>
    </row>
    <row r="3266" spans="7:7" x14ac:dyDescent="0.2">
      <c r="G3266" s="9">
        <f t="shared" si="61"/>
        <v>3683018</v>
      </c>
    </row>
    <row r="3267" spans="7:7" x14ac:dyDescent="0.2">
      <c r="G3267" s="9">
        <f t="shared" si="61"/>
        <v>3683018</v>
      </c>
    </row>
    <row r="3268" spans="7:7" x14ac:dyDescent="0.2">
      <c r="G3268" s="9">
        <f t="shared" si="61"/>
        <v>3683018</v>
      </c>
    </row>
    <row r="3269" spans="7:7" x14ac:dyDescent="0.2">
      <c r="G3269" s="9">
        <f t="shared" si="61"/>
        <v>3683018</v>
      </c>
    </row>
    <row r="3270" spans="7:7" x14ac:dyDescent="0.2">
      <c r="G3270" s="9">
        <f t="shared" si="61"/>
        <v>3683018</v>
      </c>
    </row>
    <row r="3271" spans="7:7" x14ac:dyDescent="0.2">
      <c r="G3271" s="9">
        <f t="shared" si="61"/>
        <v>3683018</v>
      </c>
    </row>
    <row r="3272" spans="7:7" x14ac:dyDescent="0.2">
      <c r="G3272" s="9">
        <f t="shared" si="61"/>
        <v>3683018</v>
      </c>
    </row>
    <row r="3273" spans="7:7" x14ac:dyDescent="0.2">
      <c r="G3273" s="9">
        <f t="shared" si="61"/>
        <v>3683018</v>
      </c>
    </row>
    <row r="3274" spans="7:7" x14ac:dyDescent="0.2">
      <c r="G3274" s="9">
        <f t="shared" si="61"/>
        <v>3683018</v>
      </c>
    </row>
    <row r="3275" spans="7:7" x14ac:dyDescent="0.2">
      <c r="G3275" s="9">
        <f t="shared" si="61"/>
        <v>3683018</v>
      </c>
    </row>
    <row r="3276" spans="7:7" x14ac:dyDescent="0.2">
      <c r="G3276" s="9">
        <f t="shared" si="61"/>
        <v>3683018</v>
      </c>
    </row>
    <row r="3277" spans="7:7" x14ac:dyDescent="0.2">
      <c r="G3277" s="9">
        <f t="shared" si="61"/>
        <v>3683018</v>
      </c>
    </row>
    <row r="3278" spans="7:7" x14ac:dyDescent="0.2">
      <c r="G3278" s="9">
        <f t="shared" si="61"/>
        <v>3683018</v>
      </c>
    </row>
    <row r="3279" spans="7:7" x14ac:dyDescent="0.2">
      <c r="G3279" s="9">
        <f t="shared" si="61"/>
        <v>3683018</v>
      </c>
    </row>
    <row r="3280" spans="7:7" x14ac:dyDescent="0.2">
      <c r="G3280" s="9">
        <f t="shared" si="61"/>
        <v>3683018</v>
      </c>
    </row>
    <row r="3281" spans="7:7" x14ac:dyDescent="0.2">
      <c r="G3281" s="9">
        <f t="shared" si="61"/>
        <v>3683018</v>
      </c>
    </row>
    <row r="3282" spans="7:7" x14ac:dyDescent="0.2">
      <c r="G3282" s="9">
        <f t="shared" si="61"/>
        <v>3683018</v>
      </c>
    </row>
    <row r="3283" spans="7:7" x14ac:dyDescent="0.2">
      <c r="G3283" s="9">
        <f t="shared" si="61"/>
        <v>3683018</v>
      </c>
    </row>
    <row r="3284" spans="7:7" x14ac:dyDescent="0.2">
      <c r="G3284" s="9">
        <f t="shared" ref="G3284:G3347" si="62">G3283+E3284-F3284</f>
        <v>3683018</v>
      </c>
    </row>
    <row r="3285" spans="7:7" x14ac:dyDescent="0.2">
      <c r="G3285" s="9">
        <f t="shared" si="62"/>
        <v>3683018</v>
      </c>
    </row>
    <row r="3286" spans="7:7" x14ac:dyDescent="0.2">
      <c r="G3286" s="9">
        <f t="shared" si="62"/>
        <v>3683018</v>
      </c>
    </row>
    <row r="3287" spans="7:7" x14ac:dyDescent="0.2">
      <c r="G3287" s="9">
        <f t="shared" si="62"/>
        <v>3683018</v>
      </c>
    </row>
    <row r="3288" spans="7:7" x14ac:dyDescent="0.2">
      <c r="G3288" s="9">
        <f t="shared" si="62"/>
        <v>3683018</v>
      </c>
    </row>
    <row r="3289" spans="7:7" x14ac:dyDescent="0.2">
      <c r="G3289" s="9">
        <f t="shared" si="62"/>
        <v>3683018</v>
      </c>
    </row>
    <row r="3290" spans="7:7" x14ac:dyDescent="0.2">
      <c r="G3290" s="9">
        <f t="shared" si="62"/>
        <v>3683018</v>
      </c>
    </row>
    <row r="3291" spans="7:7" x14ac:dyDescent="0.2">
      <c r="G3291" s="9">
        <f t="shared" si="62"/>
        <v>3683018</v>
      </c>
    </row>
    <row r="3292" spans="7:7" x14ac:dyDescent="0.2">
      <c r="G3292" s="9">
        <f t="shared" si="62"/>
        <v>3683018</v>
      </c>
    </row>
    <row r="3293" spans="7:7" x14ac:dyDescent="0.2">
      <c r="G3293" s="9">
        <f t="shared" si="62"/>
        <v>3683018</v>
      </c>
    </row>
    <row r="3294" spans="7:7" x14ac:dyDescent="0.2">
      <c r="G3294" s="9">
        <f t="shared" si="62"/>
        <v>3683018</v>
      </c>
    </row>
    <row r="3295" spans="7:7" x14ac:dyDescent="0.2">
      <c r="G3295" s="9">
        <f t="shared" si="62"/>
        <v>3683018</v>
      </c>
    </row>
    <row r="3296" spans="7:7" x14ac:dyDescent="0.2">
      <c r="G3296" s="9">
        <f t="shared" si="62"/>
        <v>3683018</v>
      </c>
    </row>
    <row r="3297" spans="7:7" x14ac:dyDescent="0.2">
      <c r="G3297" s="9">
        <f t="shared" si="62"/>
        <v>3683018</v>
      </c>
    </row>
    <row r="3298" spans="7:7" x14ac:dyDescent="0.2">
      <c r="G3298" s="9">
        <f t="shared" si="62"/>
        <v>3683018</v>
      </c>
    </row>
    <row r="3299" spans="7:7" x14ac:dyDescent="0.2">
      <c r="G3299" s="9">
        <f t="shared" si="62"/>
        <v>3683018</v>
      </c>
    </row>
    <row r="3300" spans="7:7" x14ac:dyDescent="0.2">
      <c r="G3300" s="9">
        <f t="shared" si="62"/>
        <v>3683018</v>
      </c>
    </row>
    <row r="3301" spans="7:7" x14ac:dyDescent="0.2">
      <c r="G3301" s="9">
        <f t="shared" si="62"/>
        <v>3683018</v>
      </c>
    </row>
    <row r="3302" spans="7:7" x14ac:dyDescent="0.2">
      <c r="G3302" s="9">
        <f t="shared" si="62"/>
        <v>3683018</v>
      </c>
    </row>
    <row r="3303" spans="7:7" x14ac:dyDescent="0.2">
      <c r="G3303" s="9">
        <f t="shared" si="62"/>
        <v>3683018</v>
      </c>
    </row>
    <row r="3304" spans="7:7" x14ac:dyDescent="0.2">
      <c r="G3304" s="9">
        <f t="shared" si="62"/>
        <v>3683018</v>
      </c>
    </row>
    <row r="3305" spans="7:7" x14ac:dyDescent="0.2">
      <c r="G3305" s="9">
        <f t="shared" si="62"/>
        <v>3683018</v>
      </c>
    </row>
    <row r="3306" spans="7:7" x14ac:dyDescent="0.2">
      <c r="G3306" s="9">
        <f t="shared" si="62"/>
        <v>3683018</v>
      </c>
    </row>
    <row r="3307" spans="7:7" x14ac:dyDescent="0.2">
      <c r="G3307" s="9">
        <f t="shared" si="62"/>
        <v>3683018</v>
      </c>
    </row>
    <row r="3308" spans="7:7" x14ac:dyDescent="0.2">
      <c r="G3308" s="9">
        <f t="shared" si="62"/>
        <v>3683018</v>
      </c>
    </row>
    <row r="3309" spans="7:7" x14ac:dyDescent="0.2">
      <c r="G3309" s="9">
        <f t="shared" si="62"/>
        <v>3683018</v>
      </c>
    </row>
    <row r="3310" spans="7:7" x14ac:dyDescent="0.2">
      <c r="G3310" s="9">
        <f t="shared" si="62"/>
        <v>3683018</v>
      </c>
    </row>
    <row r="3311" spans="7:7" x14ac:dyDescent="0.2">
      <c r="G3311" s="9">
        <f t="shared" si="62"/>
        <v>3683018</v>
      </c>
    </row>
    <row r="3312" spans="7:7" x14ac:dyDescent="0.2">
      <c r="G3312" s="9">
        <f t="shared" si="62"/>
        <v>3683018</v>
      </c>
    </row>
    <row r="3313" spans="7:7" x14ac:dyDescent="0.2">
      <c r="G3313" s="9">
        <f t="shared" si="62"/>
        <v>3683018</v>
      </c>
    </row>
    <row r="3314" spans="7:7" x14ac:dyDescent="0.2">
      <c r="G3314" s="9">
        <f t="shared" si="62"/>
        <v>3683018</v>
      </c>
    </row>
    <row r="3315" spans="7:7" x14ac:dyDescent="0.2">
      <c r="G3315" s="9">
        <f t="shared" si="62"/>
        <v>3683018</v>
      </c>
    </row>
    <row r="3316" spans="7:7" x14ac:dyDescent="0.2">
      <c r="G3316" s="9">
        <f t="shared" si="62"/>
        <v>3683018</v>
      </c>
    </row>
    <row r="3317" spans="7:7" x14ac:dyDescent="0.2">
      <c r="G3317" s="9">
        <f t="shared" si="62"/>
        <v>3683018</v>
      </c>
    </row>
    <row r="3318" spans="7:7" x14ac:dyDescent="0.2">
      <c r="G3318" s="9">
        <f t="shared" si="62"/>
        <v>3683018</v>
      </c>
    </row>
    <row r="3319" spans="7:7" x14ac:dyDescent="0.2">
      <c r="G3319" s="9">
        <f t="shared" si="62"/>
        <v>3683018</v>
      </c>
    </row>
    <row r="3320" spans="7:7" x14ac:dyDescent="0.2">
      <c r="G3320" s="9">
        <f t="shared" si="62"/>
        <v>3683018</v>
      </c>
    </row>
    <row r="3321" spans="7:7" x14ac:dyDescent="0.2">
      <c r="G3321" s="9">
        <f t="shared" si="62"/>
        <v>3683018</v>
      </c>
    </row>
    <row r="3322" spans="7:7" x14ac:dyDescent="0.2">
      <c r="G3322" s="9">
        <f t="shared" si="62"/>
        <v>3683018</v>
      </c>
    </row>
    <row r="3323" spans="7:7" x14ac:dyDescent="0.2">
      <c r="G3323" s="9">
        <f t="shared" si="62"/>
        <v>3683018</v>
      </c>
    </row>
    <row r="3324" spans="7:7" x14ac:dyDescent="0.2">
      <c r="G3324" s="9">
        <f t="shared" si="62"/>
        <v>3683018</v>
      </c>
    </row>
    <row r="3325" spans="7:7" x14ac:dyDescent="0.2">
      <c r="G3325" s="9">
        <f t="shared" si="62"/>
        <v>3683018</v>
      </c>
    </row>
    <row r="3326" spans="7:7" x14ac:dyDescent="0.2">
      <c r="G3326" s="9">
        <f t="shared" si="62"/>
        <v>3683018</v>
      </c>
    </row>
    <row r="3327" spans="7:7" x14ac:dyDescent="0.2">
      <c r="G3327" s="9">
        <f t="shared" si="62"/>
        <v>3683018</v>
      </c>
    </row>
    <row r="3328" spans="7:7" x14ac:dyDescent="0.2">
      <c r="G3328" s="9">
        <f t="shared" si="62"/>
        <v>3683018</v>
      </c>
    </row>
    <row r="3329" spans="7:7" x14ac:dyDescent="0.2">
      <c r="G3329" s="9">
        <f t="shared" si="62"/>
        <v>3683018</v>
      </c>
    </row>
    <row r="3330" spans="7:7" x14ac:dyDescent="0.2">
      <c r="G3330" s="9">
        <f t="shared" si="62"/>
        <v>3683018</v>
      </c>
    </row>
    <row r="3331" spans="7:7" x14ac:dyDescent="0.2">
      <c r="G3331" s="9">
        <f t="shared" si="62"/>
        <v>3683018</v>
      </c>
    </row>
    <row r="3332" spans="7:7" x14ac:dyDescent="0.2">
      <c r="G3332" s="9">
        <f t="shared" si="62"/>
        <v>3683018</v>
      </c>
    </row>
    <row r="3333" spans="7:7" x14ac:dyDescent="0.2">
      <c r="G3333" s="9">
        <f t="shared" si="62"/>
        <v>3683018</v>
      </c>
    </row>
    <row r="3334" spans="7:7" x14ac:dyDescent="0.2">
      <c r="G3334" s="9">
        <f t="shared" si="62"/>
        <v>3683018</v>
      </c>
    </row>
    <row r="3335" spans="7:7" x14ac:dyDescent="0.2">
      <c r="G3335" s="9">
        <f t="shared" si="62"/>
        <v>3683018</v>
      </c>
    </row>
    <row r="3336" spans="7:7" x14ac:dyDescent="0.2">
      <c r="G3336" s="9">
        <f t="shared" si="62"/>
        <v>3683018</v>
      </c>
    </row>
    <row r="3337" spans="7:7" x14ac:dyDescent="0.2">
      <c r="G3337" s="9">
        <f t="shared" si="62"/>
        <v>3683018</v>
      </c>
    </row>
    <row r="3338" spans="7:7" x14ac:dyDescent="0.2">
      <c r="G3338" s="9">
        <f t="shared" si="62"/>
        <v>3683018</v>
      </c>
    </row>
    <row r="3339" spans="7:7" x14ac:dyDescent="0.2">
      <c r="G3339" s="9">
        <f t="shared" si="62"/>
        <v>3683018</v>
      </c>
    </row>
    <row r="3340" spans="7:7" x14ac:dyDescent="0.2">
      <c r="G3340" s="9">
        <f t="shared" si="62"/>
        <v>3683018</v>
      </c>
    </row>
    <row r="3341" spans="7:7" x14ac:dyDescent="0.2">
      <c r="G3341" s="9">
        <f t="shared" si="62"/>
        <v>3683018</v>
      </c>
    </row>
    <row r="3342" spans="7:7" x14ac:dyDescent="0.2">
      <c r="G3342" s="9">
        <f t="shared" si="62"/>
        <v>3683018</v>
      </c>
    </row>
    <row r="3343" spans="7:7" x14ac:dyDescent="0.2">
      <c r="G3343" s="9">
        <f t="shared" si="62"/>
        <v>3683018</v>
      </c>
    </row>
    <row r="3344" spans="7:7" x14ac:dyDescent="0.2">
      <c r="G3344" s="9">
        <f t="shared" si="62"/>
        <v>3683018</v>
      </c>
    </row>
    <row r="3345" spans="7:7" x14ac:dyDescent="0.2">
      <c r="G3345" s="9">
        <f t="shared" si="62"/>
        <v>3683018</v>
      </c>
    </row>
    <row r="3346" spans="7:7" x14ac:dyDescent="0.2">
      <c r="G3346" s="9">
        <f t="shared" si="62"/>
        <v>3683018</v>
      </c>
    </row>
    <row r="3347" spans="7:7" x14ac:dyDescent="0.2">
      <c r="G3347" s="9">
        <f t="shared" si="62"/>
        <v>3683018</v>
      </c>
    </row>
    <row r="3348" spans="7:7" x14ac:dyDescent="0.2">
      <c r="G3348" s="9">
        <f t="shared" ref="G3348:G3411" si="63">G3347+E3348-F3348</f>
        <v>3683018</v>
      </c>
    </row>
    <row r="3349" spans="7:7" x14ac:dyDescent="0.2">
      <c r="G3349" s="9">
        <f t="shared" si="63"/>
        <v>3683018</v>
      </c>
    </row>
    <row r="3350" spans="7:7" x14ac:dyDescent="0.2">
      <c r="G3350" s="9">
        <f t="shared" si="63"/>
        <v>3683018</v>
      </c>
    </row>
    <row r="3351" spans="7:7" x14ac:dyDescent="0.2">
      <c r="G3351" s="9">
        <f t="shared" si="63"/>
        <v>3683018</v>
      </c>
    </row>
    <row r="3352" spans="7:7" x14ac:dyDescent="0.2">
      <c r="G3352" s="9">
        <f t="shared" si="63"/>
        <v>3683018</v>
      </c>
    </row>
    <row r="3353" spans="7:7" x14ac:dyDescent="0.2">
      <c r="G3353" s="9">
        <f t="shared" si="63"/>
        <v>3683018</v>
      </c>
    </row>
    <row r="3354" spans="7:7" x14ac:dyDescent="0.2">
      <c r="G3354" s="9">
        <f t="shared" si="63"/>
        <v>3683018</v>
      </c>
    </row>
    <row r="3355" spans="7:7" x14ac:dyDescent="0.2">
      <c r="G3355" s="9">
        <f t="shared" si="63"/>
        <v>3683018</v>
      </c>
    </row>
    <row r="3356" spans="7:7" x14ac:dyDescent="0.2">
      <c r="G3356" s="9">
        <f t="shared" si="63"/>
        <v>3683018</v>
      </c>
    </row>
    <row r="3357" spans="7:7" x14ac:dyDescent="0.2">
      <c r="G3357" s="9">
        <f t="shared" si="63"/>
        <v>3683018</v>
      </c>
    </row>
    <row r="3358" spans="7:7" x14ac:dyDescent="0.2">
      <c r="G3358" s="9">
        <f t="shared" si="63"/>
        <v>3683018</v>
      </c>
    </row>
    <row r="3359" spans="7:7" x14ac:dyDescent="0.2">
      <c r="G3359" s="9">
        <f t="shared" si="63"/>
        <v>3683018</v>
      </c>
    </row>
    <row r="3360" spans="7:7" x14ac:dyDescent="0.2">
      <c r="G3360" s="9">
        <f t="shared" si="63"/>
        <v>3683018</v>
      </c>
    </row>
    <row r="3361" spans="7:7" x14ac:dyDescent="0.2">
      <c r="G3361" s="9">
        <f t="shared" si="63"/>
        <v>3683018</v>
      </c>
    </row>
    <row r="3362" spans="7:7" x14ac:dyDescent="0.2">
      <c r="G3362" s="9">
        <f t="shared" si="63"/>
        <v>3683018</v>
      </c>
    </row>
    <row r="3363" spans="7:7" x14ac:dyDescent="0.2">
      <c r="G3363" s="9">
        <f t="shared" si="63"/>
        <v>3683018</v>
      </c>
    </row>
    <row r="3364" spans="7:7" x14ac:dyDescent="0.2">
      <c r="G3364" s="9">
        <f t="shared" si="63"/>
        <v>3683018</v>
      </c>
    </row>
    <row r="3365" spans="7:7" x14ac:dyDescent="0.2">
      <c r="G3365" s="9">
        <f t="shared" si="63"/>
        <v>3683018</v>
      </c>
    </row>
    <row r="3366" spans="7:7" x14ac:dyDescent="0.2">
      <c r="G3366" s="9">
        <f t="shared" si="63"/>
        <v>3683018</v>
      </c>
    </row>
    <row r="3367" spans="7:7" x14ac:dyDescent="0.2">
      <c r="G3367" s="9">
        <f t="shared" si="63"/>
        <v>3683018</v>
      </c>
    </row>
    <row r="3368" spans="7:7" x14ac:dyDescent="0.2">
      <c r="G3368" s="9">
        <f t="shared" si="63"/>
        <v>3683018</v>
      </c>
    </row>
    <row r="3369" spans="7:7" x14ac:dyDescent="0.2">
      <c r="G3369" s="9">
        <f t="shared" si="63"/>
        <v>3683018</v>
      </c>
    </row>
    <row r="3370" spans="7:7" x14ac:dyDescent="0.2">
      <c r="G3370" s="9">
        <f t="shared" si="63"/>
        <v>3683018</v>
      </c>
    </row>
    <row r="3371" spans="7:7" x14ac:dyDescent="0.2">
      <c r="G3371" s="9">
        <f t="shared" si="63"/>
        <v>3683018</v>
      </c>
    </row>
    <row r="3372" spans="7:7" x14ac:dyDescent="0.2">
      <c r="G3372" s="9">
        <f t="shared" si="63"/>
        <v>3683018</v>
      </c>
    </row>
    <row r="3373" spans="7:7" x14ac:dyDescent="0.2">
      <c r="G3373" s="9">
        <f t="shared" si="63"/>
        <v>3683018</v>
      </c>
    </row>
    <row r="3374" spans="7:7" x14ac:dyDescent="0.2">
      <c r="G3374" s="9">
        <f t="shared" si="63"/>
        <v>3683018</v>
      </c>
    </row>
    <row r="3375" spans="7:7" x14ac:dyDescent="0.2">
      <c r="G3375" s="9">
        <f t="shared" si="63"/>
        <v>3683018</v>
      </c>
    </row>
    <row r="3376" spans="7:7" x14ac:dyDescent="0.2">
      <c r="G3376" s="9">
        <f t="shared" si="63"/>
        <v>3683018</v>
      </c>
    </row>
    <row r="3377" spans="7:7" x14ac:dyDescent="0.2">
      <c r="G3377" s="9">
        <f t="shared" si="63"/>
        <v>3683018</v>
      </c>
    </row>
    <row r="3378" spans="7:7" x14ac:dyDescent="0.2">
      <c r="G3378" s="9">
        <f t="shared" si="63"/>
        <v>3683018</v>
      </c>
    </row>
    <row r="3379" spans="7:7" x14ac:dyDescent="0.2">
      <c r="G3379" s="9">
        <f t="shared" si="63"/>
        <v>3683018</v>
      </c>
    </row>
    <row r="3380" spans="7:7" x14ac:dyDescent="0.2">
      <c r="G3380" s="9">
        <f t="shared" si="63"/>
        <v>3683018</v>
      </c>
    </row>
    <row r="3381" spans="7:7" x14ac:dyDescent="0.2">
      <c r="G3381" s="9">
        <f t="shared" si="63"/>
        <v>3683018</v>
      </c>
    </row>
    <row r="3382" spans="7:7" x14ac:dyDescent="0.2">
      <c r="G3382" s="9">
        <f t="shared" si="63"/>
        <v>3683018</v>
      </c>
    </row>
    <row r="3383" spans="7:7" x14ac:dyDescent="0.2">
      <c r="G3383" s="9">
        <f t="shared" si="63"/>
        <v>3683018</v>
      </c>
    </row>
    <row r="3384" spans="7:7" x14ac:dyDescent="0.2">
      <c r="G3384" s="9">
        <f t="shared" si="63"/>
        <v>3683018</v>
      </c>
    </row>
    <row r="3385" spans="7:7" x14ac:dyDescent="0.2">
      <c r="G3385" s="9">
        <f t="shared" si="63"/>
        <v>3683018</v>
      </c>
    </row>
    <row r="3386" spans="7:7" x14ac:dyDescent="0.2">
      <c r="G3386" s="9">
        <f t="shared" si="63"/>
        <v>3683018</v>
      </c>
    </row>
    <row r="3387" spans="7:7" x14ac:dyDescent="0.2">
      <c r="G3387" s="9">
        <f t="shared" si="63"/>
        <v>3683018</v>
      </c>
    </row>
    <row r="3388" spans="7:7" x14ac:dyDescent="0.2">
      <c r="G3388" s="9">
        <f t="shared" si="63"/>
        <v>3683018</v>
      </c>
    </row>
    <row r="3389" spans="7:7" x14ac:dyDescent="0.2">
      <c r="G3389" s="9">
        <f t="shared" si="63"/>
        <v>3683018</v>
      </c>
    </row>
    <row r="3390" spans="7:7" x14ac:dyDescent="0.2">
      <c r="G3390" s="9">
        <f t="shared" si="63"/>
        <v>3683018</v>
      </c>
    </row>
    <row r="3391" spans="7:7" x14ac:dyDescent="0.2">
      <c r="G3391" s="9">
        <f t="shared" si="63"/>
        <v>3683018</v>
      </c>
    </row>
    <row r="3392" spans="7:7" x14ac:dyDescent="0.2">
      <c r="G3392" s="9">
        <f t="shared" si="63"/>
        <v>3683018</v>
      </c>
    </row>
    <row r="3393" spans="7:7" x14ac:dyDescent="0.2">
      <c r="G3393" s="9">
        <f t="shared" si="63"/>
        <v>3683018</v>
      </c>
    </row>
    <row r="3394" spans="7:7" x14ac:dyDescent="0.2">
      <c r="G3394" s="9">
        <f t="shared" si="63"/>
        <v>3683018</v>
      </c>
    </row>
    <row r="3395" spans="7:7" x14ac:dyDescent="0.2">
      <c r="G3395" s="9">
        <f t="shared" si="63"/>
        <v>3683018</v>
      </c>
    </row>
    <row r="3396" spans="7:7" x14ac:dyDescent="0.2">
      <c r="G3396" s="9">
        <f t="shared" si="63"/>
        <v>3683018</v>
      </c>
    </row>
    <row r="3397" spans="7:7" x14ac:dyDescent="0.2">
      <c r="G3397" s="9">
        <f t="shared" si="63"/>
        <v>3683018</v>
      </c>
    </row>
    <row r="3398" spans="7:7" x14ac:dyDescent="0.2">
      <c r="G3398" s="9">
        <f t="shared" si="63"/>
        <v>3683018</v>
      </c>
    </row>
    <row r="3399" spans="7:7" x14ac:dyDescent="0.2">
      <c r="G3399" s="9">
        <f t="shared" si="63"/>
        <v>3683018</v>
      </c>
    </row>
    <row r="3400" spans="7:7" x14ac:dyDescent="0.2">
      <c r="G3400" s="9">
        <f t="shared" si="63"/>
        <v>3683018</v>
      </c>
    </row>
    <row r="3401" spans="7:7" x14ac:dyDescent="0.2">
      <c r="G3401" s="9">
        <f t="shared" si="63"/>
        <v>3683018</v>
      </c>
    </row>
    <row r="3402" spans="7:7" x14ac:dyDescent="0.2">
      <c r="G3402" s="9">
        <f t="shared" si="63"/>
        <v>3683018</v>
      </c>
    </row>
    <row r="3403" spans="7:7" x14ac:dyDescent="0.2">
      <c r="G3403" s="9">
        <f t="shared" si="63"/>
        <v>3683018</v>
      </c>
    </row>
    <row r="3404" spans="7:7" x14ac:dyDescent="0.2">
      <c r="G3404" s="9">
        <f t="shared" si="63"/>
        <v>3683018</v>
      </c>
    </row>
    <row r="3405" spans="7:7" x14ac:dyDescent="0.2">
      <c r="G3405" s="9">
        <f t="shared" si="63"/>
        <v>3683018</v>
      </c>
    </row>
    <row r="3406" spans="7:7" x14ac:dyDescent="0.2">
      <c r="G3406" s="9">
        <f t="shared" si="63"/>
        <v>3683018</v>
      </c>
    </row>
    <row r="3407" spans="7:7" x14ac:dyDescent="0.2">
      <c r="G3407" s="9">
        <f t="shared" si="63"/>
        <v>3683018</v>
      </c>
    </row>
    <row r="3408" spans="7:7" x14ac:dyDescent="0.2">
      <c r="G3408" s="9">
        <f t="shared" si="63"/>
        <v>3683018</v>
      </c>
    </row>
    <row r="3409" spans="7:7" x14ac:dyDescent="0.2">
      <c r="G3409" s="9">
        <f t="shared" si="63"/>
        <v>3683018</v>
      </c>
    </row>
    <row r="3410" spans="7:7" x14ac:dyDescent="0.2">
      <c r="G3410" s="9">
        <f t="shared" si="63"/>
        <v>3683018</v>
      </c>
    </row>
    <row r="3411" spans="7:7" x14ac:dyDescent="0.2">
      <c r="G3411" s="9">
        <f t="shared" si="63"/>
        <v>3683018</v>
      </c>
    </row>
    <row r="3412" spans="7:7" x14ac:dyDescent="0.2">
      <c r="G3412" s="9">
        <f t="shared" ref="G3412:G3423" si="64">G3411+E3412-F3412</f>
        <v>3683018</v>
      </c>
    </row>
    <row r="3413" spans="7:7" x14ac:dyDescent="0.2">
      <c r="G3413" s="9">
        <f t="shared" si="64"/>
        <v>3683018</v>
      </c>
    </row>
    <row r="3414" spans="7:7" x14ac:dyDescent="0.2">
      <c r="G3414" s="9">
        <f t="shared" si="64"/>
        <v>3683018</v>
      </c>
    </row>
    <row r="3415" spans="7:7" x14ac:dyDescent="0.2">
      <c r="G3415" s="9">
        <f t="shared" si="64"/>
        <v>3683018</v>
      </c>
    </row>
    <row r="3416" spans="7:7" x14ac:dyDescent="0.2">
      <c r="G3416" s="9">
        <f t="shared" si="64"/>
        <v>3683018</v>
      </c>
    </row>
    <row r="3417" spans="7:7" x14ac:dyDescent="0.2">
      <c r="G3417" s="9">
        <f t="shared" si="64"/>
        <v>3683018</v>
      </c>
    </row>
    <row r="3418" spans="7:7" x14ac:dyDescent="0.2">
      <c r="G3418" s="9">
        <f t="shared" si="64"/>
        <v>3683018</v>
      </c>
    </row>
    <row r="3419" spans="7:7" x14ac:dyDescent="0.2">
      <c r="G3419" s="9">
        <f t="shared" si="64"/>
        <v>3683018</v>
      </c>
    </row>
    <row r="3420" spans="7:7" x14ac:dyDescent="0.2">
      <c r="G3420" s="9">
        <f t="shared" si="64"/>
        <v>3683018</v>
      </c>
    </row>
    <row r="3421" spans="7:7" x14ac:dyDescent="0.2">
      <c r="G3421" s="9">
        <f t="shared" si="64"/>
        <v>3683018</v>
      </c>
    </row>
    <row r="3422" spans="7:7" x14ac:dyDescent="0.2">
      <c r="G3422" s="9">
        <f t="shared" si="64"/>
        <v>3683018</v>
      </c>
    </row>
    <row r="3423" spans="7:7" x14ac:dyDescent="0.2">
      <c r="G3423" s="9">
        <f t="shared" si="64"/>
        <v>3683018</v>
      </c>
    </row>
  </sheetData>
  <sortState ref="A2386:F2396">
    <sortCondition ref="A2386"/>
  </sortState>
  <phoneticPr fontId="0" type="noConversion"/>
  <printOptions gridLines="1"/>
  <pageMargins left="0.2" right="0.19685039370078741" top="0" bottom="0" header="0.51181102362204722" footer="0.51181102362204722"/>
  <pageSetup paperSize="9" scale="85" fitToWidth="0" fitToHeight="0" orientation="portrait" horizontalDpi="300" verticalDpi="300" r:id="rId1"/>
  <headerFooter alignWithMargins="0"/>
  <rowBreaks count="23" manualBreakCount="23">
    <brk id="55" max="16383" man="1"/>
    <brk id="105" max="16383" man="1"/>
    <brk id="159" max="16383" man="1"/>
    <brk id="202" max="16383" man="1"/>
    <brk id="258" max="16383" man="1"/>
    <brk id="330" max="16383" man="1"/>
    <brk id="378" max="16383" man="1"/>
    <brk id="577" max="16383" man="1"/>
    <brk id="675" max="16383" man="1"/>
    <brk id="982" max="16383" man="1"/>
    <brk id="1031" max="16383" man="1"/>
    <brk id="1084" max="16383" man="1"/>
    <brk id="1205" max="16383" man="1"/>
    <brk id="1271" max="16383" man="1"/>
    <brk id="1319" max="16383" man="1"/>
    <brk id="1610" max="16383" man="1"/>
    <brk id="1671" max="16383" man="1"/>
    <brk id="1735" max="16383" man="1"/>
    <brk id="1787" max="16383" man="1"/>
    <brk id="1850" max="16383" man="1"/>
    <brk id="1952" max="16383" man="1"/>
    <brk id="2142" max="16383" man="1"/>
    <brk id="231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F20"/>
    </sheetView>
  </sheetViews>
  <sheetFormatPr baseColWidth="10" defaultRowHeight="12.75" x14ac:dyDescent="0.2"/>
  <cols>
    <col min="3" max="3" width="11.42578125" customWidth="1"/>
  </cols>
  <sheetData/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Feuil1</vt:lpstr>
      <vt:lpstr>Feuil2</vt:lpstr>
      <vt:lpstr>Feuil3</vt:lpstr>
      <vt:lpstr>Feuil1!Zone_d_impression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</dc:creator>
  <cp:lastModifiedBy>Tanoh AHONON</cp:lastModifiedBy>
  <cp:lastPrinted>2024-06-22T13:22:13Z</cp:lastPrinted>
  <dcterms:created xsi:type="dcterms:W3CDTF">2000-03-08T15:08:34Z</dcterms:created>
  <dcterms:modified xsi:type="dcterms:W3CDTF">2024-07-20T10:06:42Z</dcterms:modified>
</cp:coreProperties>
</file>