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Documents\DLanglois\SOS Abidjan\BANQUE\"/>
    </mc:Choice>
  </mc:AlternateContent>
  <bookViews>
    <workbookView showSheetTabs="0" xWindow="0" yWindow="0" windowWidth="28800" windowHeight="1170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F1364" i="1" l="1"/>
  <c r="F1363" i="1"/>
  <c r="E1362" i="1" l="1"/>
  <c r="F1361" i="1" l="1"/>
  <c r="E1355" i="1" l="1"/>
  <c r="F1350" i="1" l="1"/>
  <c r="F1346" i="1"/>
  <c r="F1348" i="1"/>
  <c r="F1351" i="1"/>
  <c r="F1347" i="1"/>
  <c r="E1354" i="1" l="1"/>
  <c r="F1322" i="1" l="1"/>
  <c r="F1334" i="1"/>
  <c r="F1333" i="1"/>
  <c r="E1352" i="1" l="1"/>
  <c r="F1349" i="1" l="1"/>
  <c r="F1345" i="1"/>
  <c r="E1332" i="1" l="1"/>
  <c r="F1335" i="1" l="1"/>
  <c r="F1303" i="1" l="1"/>
  <c r="E1327" i="1" l="1"/>
  <c r="E1310" i="1" l="1"/>
  <c r="E1320" i="1" l="1"/>
  <c r="E1321" i="1" l="1"/>
  <c r="E1323" i="1" l="1"/>
  <c r="F1312" i="1" l="1"/>
  <c r="E1305" i="1" l="1"/>
  <c r="F1265" i="1" l="1"/>
  <c r="F1297" i="1"/>
  <c r="E1302" i="1" l="1"/>
  <c r="F1295" i="1" l="1"/>
  <c r="F1289" i="1"/>
  <c r="F1290" i="1"/>
  <c r="F1293" i="1"/>
  <c r="F1294" i="1"/>
  <c r="F1299" i="1"/>
  <c r="E1298" i="1" l="1"/>
  <c r="E1282" i="1" l="1"/>
  <c r="F1296" i="1" l="1"/>
  <c r="E1281" i="1" l="1"/>
  <c r="F1292" i="1" l="1"/>
  <c r="F1291" i="1"/>
  <c r="I1278" i="1" l="1"/>
  <c r="F1224" i="1" l="1"/>
  <c r="F1221" i="1"/>
  <c r="F1274" i="1" l="1"/>
  <c r="F1273" i="1"/>
  <c r="E1267" i="1" l="1"/>
  <c r="E1263" i="1" l="1"/>
  <c r="E1262" i="1" l="1"/>
  <c r="E1258" i="1" l="1"/>
  <c r="E1257" i="1" l="1"/>
  <c r="F1256" i="1" l="1"/>
  <c r="E1247" i="1" l="1"/>
  <c r="F1245" i="1" l="1"/>
  <c r="F1241" i="1"/>
  <c r="E1243" i="1" l="1"/>
  <c r="E1242" i="1"/>
  <c r="E1235" i="1" l="1"/>
  <c r="F1219" i="1" l="1"/>
  <c r="F1225" i="1"/>
  <c r="F1218" i="1"/>
  <c r="F1222" i="1"/>
  <c r="F1226" i="1"/>
  <c r="F1212" i="1" l="1"/>
  <c r="E1227" i="1" l="1"/>
  <c r="F1223" i="1" l="1"/>
  <c r="F1220" i="1"/>
  <c r="E1209" i="1" l="1"/>
  <c r="E1208" i="1"/>
  <c r="E1147" i="1"/>
  <c r="F1191" i="1" l="1"/>
  <c r="F1175" i="1"/>
  <c r="E1193" i="1" l="1"/>
  <c r="E1187" i="1" l="1"/>
  <c r="E1186" i="1" l="1"/>
  <c r="E1174" i="1" l="1"/>
  <c r="E1172" i="1" l="1"/>
  <c r="F1169" i="1" l="1"/>
  <c r="F1168" i="1"/>
  <c r="F1171" i="1"/>
  <c r="F1165" i="1"/>
  <c r="F1167" i="1"/>
  <c r="F1170" i="1" l="1"/>
  <c r="F1166" i="1"/>
  <c r="F1164" i="1"/>
  <c r="E1162" i="1" l="1"/>
  <c r="E1160" i="1" l="1"/>
  <c r="F1153" i="1" l="1"/>
  <c r="F1156" i="1" l="1"/>
  <c r="F1155" i="1" l="1"/>
  <c r="E1152" i="1" l="1"/>
  <c r="E1138" i="1" l="1"/>
  <c r="E1134" i="1" l="1"/>
  <c r="E1136" i="1" l="1"/>
  <c r="F1131" i="1" l="1"/>
  <c r="F1130" i="1" l="1"/>
  <c r="E1129" i="1" l="1"/>
  <c r="F1106" i="1" l="1"/>
  <c r="E1120" i="1" l="1"/>
  <c r="F1108" i="1" l="1"/>
  <c r="F1107" i="1"/>
  <c r="F1109" i="1"/>
  <c r="F1094" i="1"/>
  <c r="E1114" i="1" l="1"/>
  <c r="E1101" i="1" l="1"/>
  <c r="F1099" i="1" l="1"/>
  <c r="F1097" i="1"/>
  <c r="F1111" i="1" l="1"/>
  <c r="F1110" i="1"/>
  <c r="E1091" i="1" l="1"/>
  <c r="E1089" i="1" l="1"/>
  <c r="E1088" i="1" l="1"/>
  <c r="F1074" i="1" l="1"/>
  <c r="E1080" i="1" l="1"/>
  <c r="F1079" i="1" l="1"/>
  <c r="E1077" i="1" l="1"/>
  <c r="E1073" i="1" l="1"/>
  <c r="E1069" i="1" l="1"/>
  <c r="F1040" i="1" l="1"/>
  <c r="E1065" i="1" l="1"/>
  <c r="E1058" i="1" l="1"/>
  <c r="F1045" i="1" l="1"/>
  <c r="F1046" i="1"/>
  <c r="F1043" i="1"/>
  <c r="F1050" i="1"/>
  <c r="F1049" i="1" l="1"/>
  <c r="F1048" i="1"/>
  <c r="F1047" i="1"/>
  <c r="F1044" i="1"/>
  <c r="E1041" i="1" l="1"/>
  <c r="E1029" i="1" l="1"/>
  <c r="E1026" i="1" l="1"/>
  <c r="F1008" i="1" l="1"/>
  <c r="F1007" i="1"/>
  <c r="F1017" i="1"/>
  <c r="F1022" i="1"/>
  <c r="E1021" i="1" l="1"/>
  <c r="E1016" i="1" l="1"/>
  <c r="E1013" i="1" l="1"/>
  <c r="F999" i="1" l="1"/>
  <c r="F1003" i="1"/>
  <c r="F997" i="1"/>
  <c r="F1002" i="1"/>
  <c r="F1012" i="1"/>
  <c r="E1006" i="1" l="1"/>
  <c r="E1004" i="1" l="1"/>
  <c r="E996" i="1" l="1"/>
  <c r="F1001" i="1" l="1"/>
  <c r="F1000" i="1"/>
  <c r="F998" i="1"/>
  <c r="E994" i="1" l="1"/>
  <c r="E992" i="1" l="1"/>
  <c r="E980" i="1" l="1"/>
  <c r="F984" i="1" l="1"/>
  <c r="F972" i="1" l="1"/>
  <c r="F971" i="1"/>
  <c r="F968" i="1"/>
  <c r="F973" i="1"/>
  <c r="F977" i="1" l="1"/>
  <c r="F966" i="1" l="1"/>
  <c r="E967" i="1" l="1"/>
  <c r="E963" i="1" l="1"/>
  <c r="E957" i="1" l="1"/>
  <c r="E952" i="1" l="1"/>
  <c r="E950" i="1" l="1"/>
  <c r="F970" i="1" l="1"/>
  <c r="F969" i="1"/>
  <c r="F961" i="1" l="1"/>
  <c r="I942" i="1" l="1"/>
  <c r="F934" i="1"/>
  <c r="E938" i="1" l="1"/>
  <c r="F935" i="1" l="1"/>
  <c r="F910" i="1" l="1"/>
  <c r="F929" i="1"/>
  <c r="E930" i="1" l="1"/>
  <c r="E926" i="1" l="1"/>
  <c r="E916" i="1"/>
  <c r="E915" i="1" l="1"/>
  <c r="F919" i="1" l="1"/>
  <c r="F888" i="1"/>
  <c r="F902" i="1"/>
  <c r="F903" i="1"/>
  <c r="E906" i="1" l="1"/>
  <c r="E900" i="1" l="1"/>
  <c r="F890" i="1" l="1"/>
  <c r="F894" i="1"/>
  <c r="F893" i="1"/>
  <c r="F891" i="1"/>
  <c r="F895" i="1" l="1"/>
  <c r="F885" i="1" l="1"/>
  <c r="F876" i="1"/>
  <c r="E887" i="1" l="1"/>
  <c r="F892" i="1" l="1"/>
  <c r="F883" i="1" l="1"/>
  <c r="E880" i="1" l="1"/>
  <c r="E874" i="1" l="1"/>
  <c r="E871" i="1" l="1"/>
  <c r="E868" i="1" l="1"/>
  <c r="E867" i="1" l="1"/>
  <c r="E862" i="1" l="1"/>
  <c r="F846" i="1" l="1"/>
  <c r="F843" i="1"/>
  <c r="F850" i="1"/>
  <c r="F853" i="1"/>
  <c r="F847" i="1"/>
  <c r="F845" i="1"/>
  <c r="E851" i="1" l="1"/>
  <c r="E842" i="1" l="1"/>
  <c r="E834" i="1" l="1"/>
  <c r="F836" i="1" l="1"/>
  <c r="F849" i="1" l="1"/>
  <c r="F848" i="1"/>
  <c r="F844" i="1"/>
  <c r="E822" i="1" l="1"/>
  <c r="F787" i="1" l="1"/>
  <c r="F793" i="1"/>
  <c r="F792" i="1"/>
  <c r="F790" i="1"/>
  <c r="F794" i="1"/>
  <c r="F786" i="1"/>
  <c r="F818" i="1"/>
  <c r="E816" i="1" l="1"/>
  <c r="E815" i="1" l="1"/>
  <c r="E803" i="1" l="1"/>
  <c r="E799" i="1" l="1"/>
  <c r="E797" i="1" l="1"/>
  <c r="E795" i="1" l="1"/>
  <c r="E776" i="1" l="1"/>
  <c r="E774" i="1" l="1"/>
  <c r="F784" i="1" l="1"/>
  <c r="F791" i="1" l="1"/>
  <c r="F773" i="1" l="1"/>
  <c r="E757" i="1" l="1"/>
  <c r="E753" i="1" l="1"/>
  <c r="F747" i="1" l="1"/>
  <c r="F746" i="1"/>
  <c r="F745" i="1"/>
  <c r="F751" i="1" l="1"/>
  <c r="F749" i="1"/>
  <c r="F748" i="1"/>
  <c r="F740" i="1" l="1"/>
  <c r="F741" i="1"/>
  <c r="E744" i="1" l="1"/>
  <c r="E728" i="1" l="1"/>
  <c r="E722" i="1" l="1"/>
  <c r="F698" i="1" l="1"/>
  <c r="F697" i="1"/>
  <c r="F701" i="1"/>
  <c r="F700" i="1"/>
  <c r="F696" i="1"/>
  <c r="F719" i="1"/>
  <c r="E718" i="1" l="1"/>
  <c r="E712" i="1" l="1"/>
  <c r="E711" i="1" l="1"/>
  <c r="E702" i="1" l="1"/>
  <c r="F699" i="1" l="1"/>
  <c r="F695" i="1"/>
  <c r="F687" i="1"/>
  <c r="E688" i="1" l="1"/>
  <c r="F685" i="1" l="1"/>
  <c r="F686" i="1" l="1"/>
  <c r="E681" i="1" l="1"/>
  <c r="E673" i="1" l="1"/>
  <c r="F671" i="1" l="1"/>
  <c r="E670" i="1" l="1"/>
  <c r="E668" i="1" l="1"/>
  <c r="F667" i="1" l="1"/>
  <c r="E665" i="1" l="1"/>
  <c r="E659" i="1" l="1"/>
  <c r="F636" i="1" l="1"/>
  <c r="F642" i="1"/>
  <c r="F644" i="1"/>
  <c r="F641" i="1"/>
  <c r="F639" i="1"/>
  <c r="F643" i="1"/>
  <c r="E645" i="1" l="1"/>
  <c r="E634" i="1" l="1"/>
  <c r="E633" i="1"/>
  <c r="F640" i="1" l="1"/>
  <c r="F638" i="1"/>
  <c r="F637" i="1"/>
  <c r="E628" i="1" l="1"/>
  <c r="F625" i="1" l="1"/>
  <c r="I622" i="1" l="1"/>
  <c r="E619" i="1" l="1"/>
  <c r="F601" i="1" l="1"/>
  <c r="F600" i="1"/>
  <c r="E604" i="1" l="1"/>
  <c r="E608" i="1" l="1"/>
  <c r="F591" i="1" l="1"/>
  <c r="F587" i="1"/>
  <c r="F592" i="1"/>
  <c r="F589" i="1"/>
  <c r="F588" i="1"/>
  <c r="F595" i="1"/>
  <c r="F594" i="1" l="1"/>
  <c r="F593" i="1"/>
  <c r="F590" i="1"/>
  <c r="E586" i="1" l="1"/>
  <c r="E584" i="1" l="1"/>
  <c r="E582" i="1" l="1"/>
  <c r="E577" i="1" l="1"/>
  <c r="E569" i="1" l="1"/>
  <c r="E565" i="1" l="1"/>
  <c r="E567" i="1"/>
  <c r="F572" i="1" l="1"/>
  <c r="F563" i="1" l="1"/>
  <c r="F556" i="1" l="1"/>
  <c r="E558" i="1" l="1"/>
  <c r="F550" i="1" l="1"/>
  <c r="F548" i="1"/>
  <c r="F552" i="1"/>
  <c r="F547" i="1"/>
  <c r="E545" i="1" l="1"/>
  <c r="E553" i="1" l="1"/>
  <c r="F532" i="1" l="1"/>
  <c r="F533" i="1"/>
  <c r="E543" i="1" l="1"/>
  <c r="F539" i="1" l="1"/>
  <c r="F551" i="1" l="1"/>
  <c r="F549" i="1"/>
  <c r="E535" i="1" l="1"/>
  <c r="E524" i="1" l="1"/>
  <c r="E519" i="1" l="1"/>
  <c r="F517" i="1" l="1"/>
  <c r="E508" i="1" l="1"/>
  <c r="E507" i="1"/>
  <c r="F506" i="1" l="1"/>
  <c r="F494" i="1" l="1"/>
  <c r="F495" i="1"/>
  <c r="F497" i="1"/>
  <c r="F492" i="1"/>
  <c r="F493" i="1"/>
  <c r="E502" i="1" l="1"/>
  <c r="E501" i="1"/>
  <c r="E490" i="1" l="1"/>
  <c r="F499" i="1" l="1"/>
  <c r="F498" i="1"/>
  <c r="F496" i="1"/>
  <c r="E488" i="1" l="1"/>
  <c r="E481" i="1" l="1"/>
  <c r="E477" i="1" l="1"/>
  <c r="E474" i="1" l="1"/>
  <c r="F466" i="1" l="1"/>
  <c r="F465" i="1"/>
  <c r="E467" i="1" l="1"/>
  <c r="F469" i="1" l="1"/>
  <c r="E462" i="1" l="1"/>
  <c r="F463" i="1" l="1"/>
  <c r="E459" i="1" l="1"/>
  <c r="F454" i="1" l="1"/>
  <c r="F448" i="1"/>
  <c r="F455" i="1"/>
  <c r="F447" i="1"/>
  <c r="F451" i="1"/>
  <c r="F449" i="1"/>
  <c r="F446" i="1"/>
  <c r="E456" i="1" l="1"/>
  <c r="F453" i="1" l="1"/>
  <c r="F452" i="1"/>
  <c r="F450" i="1"/>
  <c r="F441" i="1" l="1"/>
  <c r="F430" i="1"/>
  <c r="F431" i="1"/>
  <c r="E442" i="1" l="1"/>
  <c r="F439" i="1" l="1"/>
  <c r="F437" i="1"/>
  <c r="E435" i="1" l="1"/>
  <c r="E422" i="1" l="1"/>
  <c r="F405" i="1" l="1"/>
  <c r="F404" i="1"/>
  <c r="F406" i="1"/>
  <c r="F412" i="1"/>
  <c r="F411" i="1"/>
  <c r="F409" i="1"/>
  <c r="E416" i="1" l="1"/>
  <c r="E408" i="1" l="1"/>
  <c r="E399" i="1" l="1"/>
  <c r="E407" i="1" l="1"/>
  <c r="F395" i="1" l="1"/>
  <c r="E401" i="1" l="1"/>
  <c r="F403" i="1" l="1"/>
  <c r="F394" i="1"/>
  <c r="F397" i="1" l="1"/>
  <c r="F396" i="1" l="1"/>
  <c r="E393" i="1" l="1"/>
  <c r="E389" i="1" l="1"/>
  <c r="E386" i="1" l="1"/>
  <c r="E364" i="1" l="1"/>
  <c r="E363" i="1"/>
  <c r="E367" i="1"/>
  <c r="E377" i="1" l="1"/>
  <c r="E371" i="1"/>
  <c r="I378" i="1" l="1"/>
  <c r="F384" i="1"/>
  <c r="F383" i="1"/>
  <c r="F381" i="1" l="1"/>
  <c r="F349" i="1" l="1"/>
  <c r="F353" i="1"/>
  <c r="F355" i="1"/>
  <c r="F348" i="1"/>
  <c r="F347" i="1"/>
  <c r="F339" i="1" l="1"/>
  <c r="F337" i="1" l="1"/>
  <c r="E335" i="1"/>
  <c r="F325" i="1" l="1"/>
  <c r="E324" i="1" l="1"/>
  <c r="E323" i="1"/>
  <c r="F313" i="1" l="1"/>
  <c r="F354" i="1" l="1"/>
  <c r="F352" i="1"/>
  <c r="F351" i="1"/>
  <c r="F350" i="1"/>
  <c r="E306" i="1" l="1"/>
  <c r="F298" i="1" l="1"/>
  <c r="F279" i="1" l="1"/>
  <c r="E287" i="1" l="1"/>
  <c r="E286" i="1"/>
  <c r="E297" i="1" l="1"/>
  <c r="E272" i="1"/>
  <c r="F282" i="1" l="1"/>
  <c r="F281" i="1" l="1"/>
  <c r="F280" i="1"/>
  <c r="F278" i="1"/>
  <c r="F277" i="1"/>
  <c r="F276" i="1"/>
  <c r="E258" i="1" l="1"/>
  <c r="E252" i="1"/>
  <c r="E249" i="1" l="1"/>
  <c r="F242" i="1" l="1"/>
  <c r="E238" i="1" l="1"/>
  <c r="E236" i="1"/>
  <c r="E232" i="1" l="1"/>
  <c r="F225" i="1" l="1"/>
  <c r="F221" i="1"/>
  <c r="E212" i="1" l="1"/>
  <c r="E211" i="1"/>
  <c r="E210" i="1"/>
  <c r="E229" i="1" l="1"/>
  <c r="E228" i="1"/>
  <c r="F213" i="1" l="1"/>
  <c r="E205" i="1" l="1"/>
  <c r="F223" i="1" l="1"/>
  <c r="F226" i="1"/>
  <c r="F227" i="1"/>
  <c r="F224" i="1"/>
  <c r="F222" i="1"/>
  <c r="E197" i="1" l="1"/>
  <c r="E194" i="1" l="1"/>
  <c r="F190" i="1" l="1"/>
  <c r="E187" i="1" l="1"/>
  <c r="E183" i="1"/>
  <c r="F178" i="1" l="1"/>
  <c r="F166" i="1" l="1"/>
  <c r="F169" i="1"/>
  <c r="F167" i="1"/>
  <c r="E177" i="1" l="1"/>
  <c r="E176" i="1"/>
  <c r="E163" i="1" l="1"/>
  <c r="E162" i="1"/>
  <c r="F172" i="1" l="1"/>
  <c r="F171" i="1" l="1"/>
  <c r="F170" i="1"/>
  <c r="F168" i="1"/>
  <c r="E126" i="1" l="1"/>
  <c r="E123" i="1"/>
  <c r="E122" i="1"/>
  <c r="F145" i="1" l="1"/>
  <c r="E149" i="1" l="1"/>
  <c r="E148" i="1"/>
  <c r="F140" i="1" l="1"/>
  <c r="F139" i="1"/>
  <c r="F141" i="1"/>
  <c r="E146" i="1" l="1"/>
  <c r="F147" i="1" l="1"/>
  <c r="F144" i="1"/>
  <c r="F132" i="1" l="1"/>
  <c r="F131" i="1"/>
  <c r="E137" i="1" l="1"/>
  <c r="E136" i="1"/>
  <c r="F143" i="1" l="1"/>
  <c r="F142" i="1"/>
  <c r="F138" i="1"/>
  <c r="E115" i="1" l="1"/>
  <c r="F90" i="1" l="1"/>
  <c r="F87" i="1"/>
  <c r="F97" i="1"/>
  <c r="E100" i="1" l="1"/>
  <c r="E95" i="1" l="1"/>
  <c r="E96" i="1" l="1"/>
  <c r="E84" i="1" l="1"/>
  <c r="E74" i="1"/>
  <c r="F86" i="1" l="1"/>
  <c r="F85" i="1"/>
  <c r="F91" i="1" l="1"/>
  <c r="F89" i="1"/>
  <c r="F88" i="1"/>
  <c r="E78" i="1" l="1"/>
  <c r="F77" i="1" l="1"/>
  <c r="E71" i="1" l="1"/>
  <c r="F63" i="1" l="1"/>
  <c r="F48" i="1" l="1"/>
  <c r="F47" i="1"/>
  <c r="F44" i="1" l="1"/>
  <c r="F43" i="1"/>
  <c r="F42" i="1"/>
  <c r="F38" i="1" l="1"/>
  <c r="F40" i="1"/>
  <c r="F35" i="1" l="1"/>
  <c r="F9" i="1" l="1"/>
  <c r="F7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l="1"/>
  <c r="G101" i="1" s="1"/>
  <c r="G102" i="1" s="1"/>
  <c r="G103" i="1" s="1"/>
  <c r="G104" i="1" s="1"/>
  <c r="G105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l="1"/>
  <c r="G135" i="1" s="1"/>
  <c r="G136" i="1" s="1"/>
  <c r="G137" i="1" s="1"/>
  <c r="G138" i="1" s="1"/>
  <c r="G139" i="1" s="1"/>
  <c r="G140" i="1" s="1"/>
  <c r="G141" i="1" s="1"/>
  <c r="G142" i="1" s="1"/>
  <c r="G143" i="1" l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2" i="1" l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l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I175" i="1"/>
  <c r="G200" i="1" l="1"/>
  <c r="G201" i="1" s="1"/>
  <c r="G202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l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81" i="1" s="1"/>
  <c r="G382" i="1" s="1"/>
  <c r="G383" i="1" s="1"/>
  <c r="G384" i="1" s="1"/>
  <c r="G385" i="1" l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l="1"/>
  <c r="G399" i="1" s="1"/>
  <c r="G400" i="1" s="1"/>
  <c r="G401" i="1" s="1"/>
  <c r="G402" i="1" s="1"/>
  <c r="G403" i="1" s="1"/>
  <c r="G404" i="1" s="1"/>
  <c r="G405" i="1" s="1"/>
  <c r="G406" i="1" s="1"/>
  <c r="G407" i="1" l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30" i="1" l="1"/>
  <c r="G431" i="1" s="1"/>
  <c r="G432" i="1" l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l="1"/>
  <c r="G459" i="1" s="1"/>
  <c r="G460" i="1" s="1"/>
  <c r="G461" i="1" s="1"/>
  <c r="G462" i="1" l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4" i="1" s="1"/>
  <c r="G485" i="1" s="1"/>
  <c r="G486" i="1" s="1"/>
  <c r="G487" i="1" s="1"/>
  <c r="G488" i="1" l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l="1"/>
  <c r="G524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l="1"/>
  <c r="G538" i="1" s="1"/>
  <c r="G539" i="1" s="1"/>
  <c r="G540" i="1" s="1"/>
  <c r="G541" i="1" s="1"/>
  <c r="G542" i="1" l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l="1"/>
  <c r="G577" i="1" s="1"/>
  <c r="G580" i="1" l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l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5" i="1" s="1"/>
  <c r="G626" i="1" s="1"/>
  <c r="G627" i="1" s="1"/>
  <c r="G628" i="1" s="1"/>
  <c r="G629" i="1" s="1"/>
  <c r="G630" i="1" l="1"/>
  <c r="G631" i="1" s="1"/>
  <c r="G632" i="1" l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l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l="1"/>
  <c r="G705" i="1" l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l="1"/>
  <c r="G729" i="1" s="1"/>
  <c r="G730" i="1" s="1"/>
  <c r="G731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l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4" i="1" l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l="1"/>
  <c r="G817" i="1" s="1"/>
  <c r="G818" i="1" s="1"/>
  <c r="G819" i="1" s="1"/>
  <c r="G820" i="1" s="1"/>
  <c r="G821" i="1" s="1"/>
  <c r="G822" i="1" s="1"/>
  <c r="G823" i="1" s="1"/>
  <c r="G824" i="1" s="1"/>
  <c r="G825" i="1" l="1"/>
  <c r="G826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l="1"/>
  <c r="G839" i="1" s="1"/>
  <c r="G840" i="1" l="1"/>
  <c r="G841" i="1" s="1"/>
  <c r="G842" i="1" s="1"/>
  <c r="G843" i="1" s="1"/>
  <c r="G844" i="1" s="1"/>
  <c r="G845" i="1" s="1"/>
  <c r="G846" i="1" s="1"/>
  <c r="G847" i="1" s="1"/>
  <c r="G848" i="1" l="1"/>
  <c r="G849" i="1" s="1"/>
  <c r="G850" i="1" l="1"/>
  <c r="G851" i="1" s="1"/>
  <c r="G852" i="1" s="1"/>
  <c r="G853" i="1" s="1"/>
  <c r="G854" i="1" s="1"/>
  <c r="G855" i="1" s="1"/>
  <c r="G856" i="1" s="1"/>
  <c r="G857" i="1" s="1"/>
  <c r="G858" i="1" s="1"/>
  <c r="G859" i="1" l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l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l="1"/>
  <c r="G936" i="1" s="1"/>
  <c r="G937" i="1" s="1"/>
  <c r="G938" i="1" s="1"/>
  <c r="G939" i="1" s="1"/>
  <c r="G941" i="1" s="1"/>
  <c r="G942" i="1" s="1"/>
  <c r="G943" i="1" s="1"/>
  <c r="G944" i="1" l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l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l="1"/>
  <c r="G978" i="1" s="1"/>
  <c r="G979" i="1" s="1"/>
  <c r="G980" i="1" s="1"/>
  <c r="G981" i="1" s="1"/>
  <c r="G982" i="1" s="1"/>
  <c r="G984" i="1" l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l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l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l="1"/>
  <c r="G1027" i="1" s="1"/>
  <c r="G1028" i="1" s="1"/>
  <c r="G1029" i="1" l="1"/>
  <c r="G1030" i="1" s="1"/>
  <c r="G1031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l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l="1"/>
  <c r="G1073" i="1" s="1"/>
  <c r="G1074" i="1" s="1"/>
  <c r="G1075" i="1" s="1"/>
  <c r="G1076" i="1" s="1"/>
  <c r="G1077" i="1" s="1"/>
  <c r="G1078" i="1" s="1"/>
  <c r="G1079" i="1" l="1"/>
  <c r="G1080" i="1" s="1"/>
  <c r="G1081" i="1" s="1"/>
  <c r="G1082" i="1" s="1"/>
  <c r="G1083" i="1" s="1"/>
  <c r="G1084" i="1" s="1"/>
  <c r="G1085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6" i="1" l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7" i="1" l="1"/>
  <c r="G1208" i="1" s="1"/>
  <c r="G1209" i="1" l="1"/>
  <c r="G1210" i="1" l="1"/>
  <c r="G1211" i="1" s="1"/>
  <c r="G1212" i="1" l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l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l="1"/>
  <c r="G1269" i="1" s="1"/>
  <c r="G1270" i="1" s="1"/>
  <c r="G1273" i="1" s="1"/>
  <c r="G1274" i="1" s="1"/>
  <c r="G1275" i="1" s="1"/>
  <c r="G1276" i="1" s="1"/>
  <c r="G1277" i="1" s="1"/>
  <c r="G1278" i="1" s="1"/>
  <c r="G1279" i="1" s="1"/>
  <c r="G1280" i="1" l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I1281" i="1"/>
  <c r="G1291" i="1" l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20" i="1" s="1"/>
  <c r="G1321" i="1" s="1"/>
  <c r="G1322" i="1" s="1"/>
  <c r="G1323" i="1" s="1"/>
  <c r="G1324" i="1" l="1"/>
  <c r="G1325" i="1" s="1"/>
  <c r="G1326" i="1" s="1"/>
  <c r="G1327" i="1" s="1"/>
  <c r="G1328" i="1" s="1"/>
  <c r="G1329" i="1" s="1"/>
  <c r="G1330" i="1" l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</calcChain>
</file>

<file path=xl/sharedStrings.xml><?xml version="1.0" encoding="utf-8"?>
<sst xmlns="http://schemas.openxmlformats.org/spreadsheetml/2006/main" count="2896" uniqueCount="924">
  <si>
    <t>Report</t>
  </si>
  <si>
    <t>° Pièce</t>
  </si>
  <si>
    <t>Date</t>
  </si>
  <si>
    <t>Libellé</t>
  </si>
  <si>
    <t>Recettes</t>
  </si>
  <si>
    <t>Solde</t>
  </si>
  <si>
    <t>Dépenses</t>
  </si>
  <si>
    <t>Frais</t>
  </si>
  <si>
    <t>Appro Caisse</t>
  </si>
  <si>
    <t>V</t>
  </si>
  <si>
    <t>Rem Chq xxx</t>
  </si>
  <si>
    <t>SOS Abidjan JANVIER 2021</t>
  </si>
  <si>
    <t>4034289</t>
  </si>
  <si>
    <t>Vir CHAVES BAO Jan 2021</t>
  </si>
  <si>
    <t>4034291</t>
  </si>
  <si>
    <t>Vir VEOLIA</t>
  </si>
  <si>
    <t>Rem Chq CEMOI Cote</t>
  </si>
  <si>
    <t>4034292</t>
  </si>
  <si>
    <t>Vir EIFFAGE</t>
  </si>
  <si>
    <t>Vir XXX</t>
  </si>
  <si>
    <t>Frais Virement DGI</t>
  </si>
  <si>
    <t>Vir SOCIETE AFRICAINE de CACAO</t>
  </si>
  <si>
    <t>Chq xxx</t>
  </si>
  <si>
    <t>4034293</t>
  </si>
  <si>
    <t>4034290</t>
  </si>
  <si>
    <t>Chq xxx Loyer</t>
  </si>
  <si>
    <t>Frais Digipass</t>
  </si>
  <si>
    <t>Cotisation Compte SOS</t>
  </si>
  <si>
    <t>4034266</t>
  </si>
  <si>
    <t>Agios du 31/12/20 au 31/01/21</t>
  </si>
  <si>
    <t>SOS Abidjan FEVRIER 2021</t>
  </si>
  <si>
    <t>4034267</t>
  </si>
  <si>
    <t>Chq HOTEL La Terrasse</t>
  </si>
  <si>
    <t>Salaires Janvier 2021</t>
  </si>
  <si>
    <t>Frais Virement Salaires</t>
  </si>
  <si>
    <t>DI</t>
  </si>
  <si>
    <t>403468</t>
  </si>
  <si>
    <t>Vir TENTE Fev 2021 3288,06€</t>
  </si>
  <si>
    <t>Frais Encaissement???</t>
  </si>
  <si>
    <t>Rem Chq SOFID-SEM-AIC</t>
  </si>
  <si>
    <t>Vir NERE Loyer Janvier 21 + 1/2 Juillet 20</t>
  </si>
  <si>
    <t>Vir CMID 870-075-095-871-806-874-103-817</t>
  </si>
  <si>
    <t>Vir SIDECI 1079-1262-1316-1396-1428-1430</t>
  </si>
  <si>
    <t>Rem Chq CEMOI CI</t>
  </si>
  <si>
    <t>Rem Chq TIAMA-CARGILL-PROTECT-SOGENA-SOTICI-SNEC-ACIERIES</t>
  </si>
  <si>
    <t>Vir FRIESLANDCAMPINA</t>
  </si>
  <si>
    <t>Rem Chq IVMCI-SOLIBRA-SIF PLAST-EUROLAIT-ENGIE-DREAM COSMETICS</t>
  </si>
  <si>
    <t>4034269</t>
  </si>
  <si>
    <t>Agios du 31/01 au 28/02/21</t>
  </si>
  <si>
    <t>Vir SIDAM SA Fact xxx</t>
  </si>
  <si>
    <t>SOS Abidjan MARS 2021</t>
  </si>
  <si>
    <t>Salaires Fevrier 2021</t>
  </si>
  <si>
    <t>Versement Especes</t>
  </si>
  <si>
    <t>Timbre</t>
  </si>
  <si>
    <t>Versement Especes Appro Cogerants</t>
  </si>
  <si>
    <t>Rem Chq INPROBOIS</t>
  </si>
  <si>
    <t>Rem Chq SDGISN</t>
  </si>
  <si>
    <t>Rem Chq PFO AFRICA</t>
  </si>
  <si>
    <t>Rem Chq ACIERIES</t>
  </si>
  <si>
    <t>Rem Chq FLEPACI</t>
  </si>
  <si>
    <t>Rem Chq SDGISN-SISAG-AMDS-PALMAFRIQUE</t>
  </si>
  <si>
    <t>Vir CARGILL COCOA</t>
  </si>
  <si>
    <t>Rem Chq SOUDOTEC-ECO EBURNIE-MEDLOG-SN INDIGO-COCITAM-FRIEDLANDER-FRIEDLANDER</t>
  </si>
  <si>
    <t>Vir Impots Fevrier 2021</t>
  </si>
  <si>
    <t>Vir Impots Janvier 2021</t>
  </si>
  <si>
    <t>Vir EBUTRANS Douanes dossier 21/0155</t>
  </si>
  <si>
    <t>Vir SIDECI 1429-1454-1479-1480-1490-1540</t>
  </si>
  <si>
    <t>Vir CMID 818-823</t>
  </si>
  <si>
    <t>Vir EBUTRANS 1757-1756-1760-1761</t>
  </si>
  <si>
    <t>Vir NERE Loyer Fevrier 21 + 1/2 Juillet 20 + Aout 20</t>
  </si>
  <si>
    <t>Encaissement Effet SOTACI</t>
  </si>
  <si>
    <t>Encaissement Effet CEMOI</t>
  </si>
  <si>
    <t>Rem Chq LASSIRE DECHETS-AIC-AIRONE</t>
  </si>
  <si>
    <t>Rem Chq GIB SARL</t>
  </si>
  <si>
    <t>Rem Chq ARIBAT</t>
  </si>
  <si>
    <t>Rem Chq LASSIRE INDUSTRIE-UNIWAX-NUTRI FOOD-PROLOGISTICS</t>
  </si>
  <si>
    <t>Vir CROWN SIEM</t>
  </si>
  <si>
    <t>Vir EBUTRANS Douanes dossier 21/0173</t>
  </si>
  <si>
    <t>Rem Chq SOFID-SOETIC</t>
  </si>
  <si>
    <t>Rem Chq SICODIS-SOLIBRA-CMR GRANIT</t>
  </si>
  <si>
    <t>Rem Chq RMI-ADEMAT-IVOSEP-SIPROCHIM</t>
  </si>
  <si>
    <t>Chq SIDAM</t>
  </si>
  <si>
    <t>4034270</t>
  </si>
  <si>
    <t>Chq ???</t>
  </si>
  <si>
    <t>Prelevement Compte Compensation</t>
  </si>
  <si>
    <t>4034271</t>
  </si>
  <si>
    <t>agios du 28/02 au 31/03/21</t>
  </si>
  <si>
    <t>Vir FDFP</t>
  </si>
  <si>
    <t>Chq CNPS 2020</t>
  </si>
  <si>
    <t>Salaires Mars 2021</t>
  </si>
  <si>
    <t>Vir EBUTRANS Douanes dossier 21/0180</t>
  </si>
  <si>
    <t>Rem chq NORCOCI LOYER SS LOC 01/02/03</t>
  </si>
  <si>
    <t>Rem Chq HYDROPLAST</t>
  </si>
  <si>
    <t>Rem Chq PESCHAUD-ACIS-USICHROM</t>
  </si>
  <si>
    <t>4034295</t>
  </si>
  <si>
    <t>Chq CNPS Jan Fev Mars 2021</t>
  </si>
  <si>
    <t>Chq Solde Compte ASSOUA Marthe</t>
  </si>
  <si>
    <t>Vir TSE</t>
  </si>
  <si>
    <t xml:space="preserve">Vir IMF/FDFP/TVA </t>
  </si>
  <si>
    <t>Chq ITS</t>
  </si>
  <si>
    <t>Vir NERE Loyer Mars 21 + Aout 20</t>
  </si>
  <si>
    <t>Vir Me ROUX Cession de part &amp; Statuts</t>
  </si>
  <si>
    <t>Vir SIDECI FT137200/1614-137230/1644-137247/1661-137289/1703-137286/1700-137337/1737</t>
  </si>
  <si>
    <t>Vir CMID 20316S023/0130</t>
  </si>
  <si>
    <t>Vir BERNABE Fact xxx</t>
  </si>
  <si>
    <t>Rem Chq EMI</t>
  </si>
  <si>
    <t>Rem Chq MEDLOG-SOTICI</t>
  </si>
  <si>
    <t>Rem Chq ATOU SA-SOTICI-SOUDOTEC</t>
  </si>
  <si>
    <t>Vir EBUTRANS Douanes dossier 21/0222</t>
  </si>
  <si>
    <t>Vir EBUTRANS Douanes dossier 21/0220</t>
  </si>
  <si>
    <t>Rem Chq IRES-SDCI</t>
  </si>
  <si>
    <t>Rem Chq LUBITECH-ACIERS INDUSTRIES SERVICES-LASSIRE DECHETS</t>
  </si>
  <si>
    <t>Rem Chq CAP LOGISTICS-SOETIC INDUSTRIE-SEM ENTREPRISES</t>
  </si>
  <si>
    <t>4034274</t>
  </si>
  <si>
    <t>Chq impaye EMI</t>
  </si>
  <si>
    <t>Rem Chq UNIWAX</t>
  </si>
  <si>
    <t>Vir SOGB</t>
  </si>
  <si>
    <t>SOS Abidjan AVRIL 2021</t>
  </si>
  <si>
    <t>Salaires Avril 2021</t>
  </si>
  <si>
    <t>Agios du 31/03 au 30/04/21</t>
  </si>
  <si>
    <t>SOS Abidjan MAI 2021</t>
  </si>
  <si>
    <t>Rem Chq LASSIRE DECHETS</t>
  </si>
  <si>
    <t>Rem Chq CMD</t>
  </si>
  <si>
    <t>Rem Chq IVMCI</t>
  </si>
  <si>
    <t>Rem Chq CMR GRANIT</t>
  </si>
  <si>
    <t>Rem Chq SIF PLAST-SIF PLAST-SCCI</t>
  </si>
  <si>
    <t>Rem Chq SDIPM-SDGISN</t>
  </si>
  <si>
    <t>Rem Chq SCTII-?????-TECHNIQUE INDUSTRIE</t>
  </si>
  <si>
    <t>Vir EBUTRANS 21/073-21/0155</t>
  </si>
  <si>
    <t>Vir NERE Loyer Avril 2021 + Sept 2020</t>
  </si>
  <si>
    <t>Vir CMID 20316S023/0137</t>
  </si>
  <si>
    <t xml:space="preserve">Vir SIDECI FT137474/1891-137480/1897-137516/1933-137529/1946-137532/1949-137601/2019 </t>
  </si>
  <si>
    <t>Vir HESNAULT 22102727</t>
  </si>
  <si>
    <t>Rem Chq SOFIM-SIDECI-SOLIBRA</t>
  </si>
  <si>
    <t>Rem Chq FRANZETTI-EXAT-DPT</t>
  </si>
  <si>
    <t>Rem Chq MICI EMBACI-NP GANDOUR-NP GANDOUR-SIDECI</t>
  </si>
  <si>
    <t>Rem Chq USICHROM-SOTICI-CIMELEC IVOIRE</t>
  </si>
  <si>
    <t>Vir NESTLE</t>
  </si>
  <si>
    <t>4034297</t>
  </si>
  <si>
    <t>DIGIPASS</t>
  </si>
  <si>
    <t>Vir EBUTRANS 21/0259-21/0261</t>
  </si>
  <si>
    <t>4034296</t>
  </si>
  <si>
    <t>Versement Espece Caisse</t>
  </si>
  <si>
    <t>4034298</t>
  </si>
  <si>
    <t>Vir STA SIB</t>
  </si>
  <si>
    <t>Rem Chq IRES-RMI-EXP AND MINING SUPPLIERS-SDGISN</t>
  </si>
  <si>
    <t>Rem Chq GIE CEMACI</t>
  </si>
  <si>
    <t>Rem Chq UNIWAX-AMDS</t>
  </si>
  <si>
    <t>Rem Chq AIC</t>
  </si>
  <si>
    <t>Chq BERNABE</t>
  </si>
  <si>
    <t>Chq LA TERRASSE</t>
  </si>
  <si>
    <t>4034299</t>
  </si>
  <si>
    <t>Rem Chq IVOIRE EQUIPEMENTS</t>
  </si>
  <si>
    <t>Rem Chq GIB SARL-INPROBOIS-SDGISN</t>
  </si>
  <si>
    <t>Chq CIE</t>
  </si>
  <si>
    <t>Rem Chq PROLINE LOGISTICS-ATR</t>
  </si>
  <si>
    <t>Salaires Mai 2021</t>
  </si>
  <si>
    <t>Vir RDT 7650550</t>
  </si>
  <si>
    <t>Vir HESNAULT 22103558</t>
  </si>
  <si>
    <t>Vir SIDAM SA 205-20</t>
  </si>
  <si>
    <t>Vir CMID 202-905-906</t>
  </si>
  <si>
    <t>Vir SIDECI 2204/FT137784-2257/FT137838</t>
  </si>
  <si>
    <t>Vir EBUTRANS 21/0180-21/0222</t>
  </si>
  <si>
    <t>Vir NERE Loyer Mai 2021 + Sept 2020</t>
  </si>
  <si>
    <t>Agios du 30/04 au 31/05/21</t>
  </si>
  <si>
    <t>Vir Nationale D'Operation Petrole</t>
  </si>
  <si>
    <t>Rem Chq CIE CACAOYERE-SUCAF</t>
  </si>
  <si>
    <t>Rem Chq ECM CI</t>
  </si>
  <si>
    <t>Vir ABEILLECARRIERE</t>
  </si>
  <si>
    <t>SOS Abidjan JUIN 2021</t>
  </si>
  <si>
    <t>Vir EBUTRANS Douane dossier 21/0306</t>
  </si>
  <si>
    <t>4034300</t>
  </si>
  <si>
    <t>Chq EIEE ENTREPRISE (ANTIVIRUS)</t>
  </si>
  <si>
    <t>Rem Chq HOTEL TIAMA-COCITAM-SOGB-SOLIBRA</t>
  </si>
  <si>
    <t>Rem Chq SOFID-SCTII-CROWN SIEM</t>
  </si>
  <si>
    <t>Rem Chq SNAMDE-USICHROM</t>
  </si>
  <si>
    <t>Rem Chq SCB-ADEMAT-SIF PLAST</t>
  </si>
  <si>
    <t>Rem Chq LA FERME DE BEOUMI-SIDECI</t>
  </si>
  <si>
    <t>Frais Vir DGI</t>
  </si>
  <si>
    <t>Vir DGI 2ième tranche impôt</t>
  </si>
  <si>
    <t>Rem Chq LASSIRE-AMDS-NUTRI FOOD-MONDI-SUCRIVOIRE</t>
  </si>
  <si>
    <t>Rem Chq MEDLOG-SDGISN-LUBITECH</t>
  </si>
  <si>
    <t>Rem Chq IVOIRE COTON-SOTICI-SOFID</t>
  </si>
  <si>
    <t>Versement Especes appro cogérants</t>
  </si>
  <si>
    <t>Rem Chq SIC5E</t>
  </si>
  <si>
    <t>Rem Chq SETEL CI</t>
  </si>
  <si>
    <t>Vir EBUTRANS dossier 21/0350</t>
  </si>
  <si>
    <t>Rem Chq SCB-CBC</t>
  </si>
  <si>
    <t>Rem Chq DD-ITM</t>
  </si>
  <si>
    <t>Vir YARA</t>
  </si>
  <si>
    <t>Salaires Juin 2021</t>
  </si>
  <si>
    <t>Rem Chq CAS EQUIPEMENT</t>
  </si>
  <si>
    <t>Rem Chq SN INDIGO-IRES</t>
  </si>
  <si>
    <t>Rem Chq NUTRI FOOD-USICHROM</t>
  </si>
  <si>
    <t>Agios du 31/05 au 31/06/21</t>
  </si>
  <si>
    <t>4034303</t>
  </si>
  <si>
    <t>4034304</t>
  </si>
  <si>
    <t>SOS Abidjan JUILLET 2021</t>
  </si>
  <si>
    <t>4034301</t>
  </si>
  <si>
    <t>Versement especes</t>
  </si>
  <si>
    <t>4034305</t>
  </si>
  <si>
    <t xml:space="preserve">Vir SPINTOSCI </t>
  </si>
  <si>
    <t>Vir NERE Loyer Juin 2021 + Oct 2020</t>
  </si>
  <si>
    <t>Vir BERNABE 115298/FVE036065</t>
  </si>
  <si>
    <t>Vir SIDAM 205-20</t>
  </si>
  <si>
    <t>Vir SIDECI 2344/FT137922-2343/FT137921-2355/FT137934-2367/FT137954</t>
  </si>
  <si>
    <t>Vir RDT 7650550-7651888</t>
  </si>
  <si>
    <t>Vir EBUTRANS 21/0220-21/0259-21/0261</t>
  </si>
  <si>
    <t>Vir NORD SUD 47500/108526</t>
  </si>
  <si>
    <t>4034302</t>
  </si>
  <si>
    <t>Vir ME COTE IVOIRE</t>
  </si>
  <si>
    <t>Chq enregistrement loyer</t>
  </si>
  <si>
    <t>Chq hotel LA TERRASSE</t>
  </si>
  <si>
    <t>Rem chq SDGISN-CADERAC</t>
  </si>
  <si>
    <t>EFFETS CEMOI</t>
  </si>
  <si>
    <t>Rem chq SIDECI-RMI-SCTII</t>
  </si>
  <si>
    <t>Rem chq SAMELA-SIF PLAST-SDGISN-NOUVELLE MICI EMBACI</t>
  </si>
  <si>
    <t>Vir GCCI</t>
  </si>
  <si>
    <t>Chq renouvellement bail bureau</t>
  </si>
  <si>
    <t>Chq FILAC tenues magasiniers</t>
  </si>
  <si>
    <t>Frais Procuration</t>
  </si>
  <si>
    <t>Rem chq SDGISN</t>
  </si>
  <si>
    <t>4034309</t>
  </si>
  <si>
    <t>Vir EBUTRANS Douane dossier 21/0397</t>
  </si>
  <si>
    <t>Rem chq CAMAA</t>
  </si>
  <si>
    <t>Rem chq IVMCI</t>
  </si>
  <si>
    <t>Rem chq UNIWAX-LASSIRE-NEXANS-SARCI-SEA INVEST-UNIWAX</t>
  </si>
  <si>
    <t>Frais Virement</t>
  </si>
  <si>
    <t>Vir PATENTE 2ième TRANCHE</t>
  </si>
  <si>
    <t>Vir impôts TSE 2ième trimestre</t>
  </si>
  <si>
    <t>Vir impôts FDFP 2ième trimestre</t>
  </si>
  <si>
    <t>Chq ordinateur</t>
  </si>
  <si>
    <t>Virement TENTE</t>
  </si>
  <si>
    <t>4034307</t>
  </si>
  <si>
    <t>Chq Retenue sur loyer</t>
  </si>
  <si>
    <t>4034311</t>
  </si>
  <si>
    <t>4034310</t>
  </si>
  <si>
    <t>Chq CNPS</t>
  </si>
  <si>
    <t>4034308</t>
  </si>
  <si>
    <t>Frais Domiciliation</t>
  </si>
  <si>
    <t>Vir NERE Loyer Juillet 2021 + Nov 2020</t>
  </si>
  <si>
    <t>Vir NORD SUD 47500/110602</t>
  </si>
  <si>
    <t>Vir CMID 934</t>
  </si>
  <si>
    <t>Vir EBUTRANS 21/0306-21/0350</t>
  </si>
  <si>
    <t>Vir SIDECI 2313/FT138186-2939/FT138504-3005/FT138569</t>
  </si>
  <si>
    <t>Vir CAREC 362</t>
  </si>
  <si>
    <t>Vir UNIVERSAL LOG ULW-IM-008553</t>
  </si>
  <si>
    <t>Vir CENTRIMEX VME21070184</t>
  </si>
  <si>
    <t>Rem Chq COLAS AFRIQUE-NUTRI FOOD-DPT</t>
  </si>
  <si>
    <t>Rem Chq IVOSEP-SIDECI-SIDECI</t>
  </si>
  <si>
    <t>Rem Chq NOUVELLE MICI EMBACI</t>
  </si>
  <si>
    <t>Rem Chq IRES</t>
  </si>
  <si>
    <t>Vir EBUTRANS Debours Douane 21/0385</t>
  </si>
  <si>
    <t>timbre</t>
  </si>
  <si>
    <t>agios du 30/06/ au 31/07/21</t>
  </si>
  <si>
    <t>Rem Chq UNIWAX-NP GANDOUR-ADEMAT-USICHROM</t>
  </si>
  <si>
    <t>Vir EBUTRANS Debours Douane 21/0424</t>
  </si>
  <si>
    <t>Vir EBUTRANS Debours Douane 21/0440</t>
  </si>
  <si>
    <t>Vir SOCIETE DES MINES</t>
  </si>
  <si>
    <t>Vir SOCIETE IVOIRIENNE</t>
  </si>
  <si>
    <t>Vir AGBAOU GOLD Op</t>
  </si>
  <si>
    <t>Annule</t>
  </si>
  <si>
    <t>Vir TVA</t>
  </si>
  <si>
    <t>4034312</t>
  </si>
  <si>
    <t>Salaires Aout 2021</t>
  </si>
  <si>
    <t>Vir EBUTRANS 21/0498</t>
  </si>
  <si>
    <t>Vir EBUTRANS 21/0499</t>
  </si>
  <si>
    <t>agios du 31/07 au 31/08/21</t>
  </si>
  <si>
    <t>Vir M E COTE IVOIRE</t>
  </si>
  <si>
    <t>SOS Abidjan AOUT 2021</t>
  </si>
  <si>
    <t>SOS Abidjan SEPTEMBRE 2021</t>
  </si>
  <si>
    <t>Rem Chq SCB-AIRONE-UNIWAX-SIF PLAST-UNIWAX-NUTRI FOOD-SDGISN</t>
  </si>
  <si>
    <t>Rem Chq ADEMAT-IRES-LASSIRE-SUCAF</t>
  </si>
  <si>
    <t>Rem Chq ACIERIES-SDGISN-SOGENA-SOTICI</t>
  </si>
  <si>
    <t>Rem Chq SARCI-SOFID</t>
  </si>
  <si>
    <t>Rem Chq INTRATEC 2X-COCITAM-DREAM COSMETICS</t>
  </si>
  <si>
    <t>Rem Chq CADERAC</t>
  </si>
  <si>
    <t>Rem Chq NOUVELLE IFMI</t>
  </si>
  <si>
    <t>Rem Chq ATR</t>
  </si>
  <si>
    <t>Rem Chq CONTINENTAL SHIPPING</t>
  </si>
  <si>
    <t>Rem Chq SN INDIGO-AIC</t>
  </si>
  <si>
    <t>Rem Chq IVENTRAD</t>
  </si>
  <si>
    <t>Rem Chq SOFIM</t>
  </si>
  <si>
    <t>Rem Chq SCCI-METALUX-SOTICI-RMI-MEDLOG</t>
  </si>
  <si>
    <t>Rem Chq IMS</t>
  </si>
  <si>
    <t>Rem Chq EXAT 2X-USICHROM</t>
  </si>
  <si>
    <t>Vir EBUTRANS 21/0522</t>
  </si>
  <si>
    <t>Vir TROPICAL TRANSIT INT 437-438</t>
  </si>
  <si>
    <t>4034313</t>
  </si>
  <si>
    <t>Vir NERE Loyer Aout 2021 + Nov 2020</t>
  </si>
  <si>
    <t>Rem Chq INTELEC PROTECTION 2X</t>
  </si>
  <si>
    <t>TRAITE SOTACI</t>
  </si>
  <si>
    <t>Vir COBRA CI</t>
  </si>
  <si>
    <t>Rem Chq ABIBAT-LASSIRE-SIDECI-SIF PLAST-SIDECI-ABIBAT-USICHROM</t>
  </si>
  <si>
    <t>Rem Chq THELEN-SOETIC</t>
  </si>
  <si>
    <t>Rem Chq MIPA-DREAM COSMETICS-IRES-UNIWAX-USICHROM</t>
  </si>
  <si>
    <t>versement espèces</t>
  </si>
  <si>
    <t>4034314</t>
  </si>
  <si>
    <t>4034315</t>
  </si>
  <si>
    <t>Remb Dossier 00007841</t>
  </si>
  <si>
    <t>Remb SG Decouvert</t>
  </si>
  <si>
    <t xml:space="preserve">Vir INOXMARE Sept 2021 </t>
  </si>
  <si>
    <t xml:space="preserve">Vir MAURIN Sept 2021 </t>
  </si>
  <si>
    <t xml:space="preserve">Vir TENTE Sept 2021 </t>
  </si>
  <si>
    <t>Vir Impots ???</t>
  </si>
  <si>
    <t>Rem Chq PROLOGISTICS-PROLINE-CARENA-SIBM</t>
  </si>
  <si>
    <t>Rem Chq LASSIRE-UNIWAX-NUTRI FOOD INDUSTRY</t>
  </si>
  <si>
    <t>Rem Chq IDS</t>
  </si>
  <si>
    <t>Rem Chq SOMEG</t>
  </si>
  <si>
    <t>Retenue Garantie Decouvert</t>
  </si>
  <si>
    <t>Agios du 31/08 au 30/09/21</t>
  </si>
  <si>
    <t>VIREMENT TENTE</t>
  </si>
  <si>
    <t>VIREMENT MAURIN</t>
  </si>
  <si>
    <t>Chq CFAO MOTO</t>
  </si>
  <si>
    <t>Rem Chq MONDI-EXPLORATION AND MINING</t>
  </si>
  <si>
    <t>Rem Chq SEL ROYAL AFRIQUE</t>
  </si>
  <si>
    <t>VIREMENT SPINTOS</t>
  </si>
  <si>
    <t>4034316</t>
  </si>
  <si>
    <t>Chq Impaye IDS</t>
  </si>
  <si>
    <t>Versement Associes</t>
  </si>
  <si>
    <t>Vir EBUTRANS 21/0595</t>
  </si>
  <si>
    <t>SOS Abidjan OCTOBRE 2021</t>
  </si>
  <si>
    <t>Rem Chq IVOIRE INGENIERIE-LASSIRE-NUTRI FOOD-SOTICI-SN  AMDE</t>
  </si>
  <si>
    <t>Rem Chq SDIPM</t>
  </si>
  <si>
    <t>Rem Chq ECMTD</t>
  </si>
  <si>
    <t>Vir RDT 7655989-7655986</t>
  </si>
  <si>
    <t>Vir HESNAULT 22106718</t>
  </si>
  <si>
    <t>Vir MEDIAROCH 17316/046/0204</t>
  </si>
  <si>
    <t>Vir NORD SUD CTI 47500/113510</t>
  </si>
  <si>
    <t>Vir SIDECI 0270/FT139067-0755/FT139545</t>
  </si>
  <si>
    <t>Vir CENTRIMEX VITF103803</t>
  </si>
  <si>
    <t>Vir CMID 000947-000316</t>
  </si>
  <si>
    <t>Vir EBUTRANS 21/0397-21/0385-21/0424</t>
  </si>
  <si>
    <t>Vir NERE Loyer Aout 2021 + Nov 2020 + Dec 2020</t>
  </si>
  <si>
    <t>Vir SERENITY Assurance 2021-2022</t>
  </si>
  <si>
    <t>Rem Chq ADEMAT-SOTACI-SACRI-SN INDIGO-IVMCI-USICHROM</t>
  </si>
  <si>
    <t>Rem Chq AIC-SAMELA-CADERAC</t>
  </si>
  <si>
    <t>Vir CAREC Solde fact 362</t>
  </si>
  <si>
    <t>Rem Chq AMDS-SPAC-SIDECI-AMS</t>
  </si>
  <si>
    <t>Virement impôts</t>
  </si>
  <si>
    <t>Vir EBUTRANS 21/0633</t>
  </si>
  <si>
    <t>Rem Chq PALMAFRIQUE</t>
  </si>
  <si>
    <t>Rem Chq COCITAM-UNIWAX-2TM</t>
  </si>
  <si>
    <t>Chq Impaye 3153335</t>
  </si>
  <si>
    <t>Rem chq IDS</t>
  </si>
  <si>
    <t>Encaissement CEMOI</t>
  </si>
  <si>
    <t>Frais Encaissement CEMOI</t>
  </si>
  <si>
    <t>Rem Chq SOFID-RMI-IRES-SOFID-LA ROUTE AFRICAINE-SOGENA</t>
  </si>
  <si>
    <t>Rem Chq CONTINENTAL SHIPPING-SUCAF-GROUP CAR LINES</t>
  </si>
  <si>
    <t>Rem Chq AIC-SIPROCHIM-AIRONE-FRANZETTI-COCITAM</t>
  </si>
  <si>
    <t>Agios du 30/09 au 31/10/21</t>
  </si>
  <si>
    <t>Vir MOTA ENGIL</t>
  </si>
  <si>
    <t>4034318</t>
  </si>
  <si>
    <t>Salaires Septembre 2021</t>
  </si>
  <si>
    <t>Salaires Octobre 2021</t>
  </si>
  <si>
    <t>4034317</t>
  </si>
  <si>
    <t>Chq IMPOTS LOYER</t>
  </si>
  <si>
    <t>Rem Chq EIS-CONTINENTAL SHIPPING-AMS-SAEPP-ARIBAT</t>
  </si>
  <si>
    <t>SOS Abidjan NOVEMBRE 2021</t>
  </si>
  <si>
    <t>Vir CAREC 000489</t>
  </si>
  <si>
    <t>Vir EBUTRANS 21/0440-0499-0522-0498</t>
  </si>
  <si>
    <t>Vir CMID 000343-388-389</t>
  </si>
  <si>
    <t>Vir SIDECI 0925/FT139713-1160/FT139945-1234/FT140018-21 319 I091/1304</t>
  </si>
  <si>
    <t>Vir CENTRIMEX FAC VME21090189</t>
  </si>
  <si>
    <t>Vir NERE Loyer Oct 21 - Nov 21</t>
  </si>
  <si>
    <t>Vir SERENITY 2021-2022</t>
  </si>
  <si>
    <t>Vir RDT 7656486</t>
  </si>
  <si>
    <t>4034319</t>
  </si>
  <si>
    <t>Rem Chq SIC5E-LASSIRE-SOTICI</t>
  </si>
  <si>
    <t>Rem Chq SOLIBRA-CARENA-SOLIBRA-SOLIBRA</t>
  </si>
  <si>
    <t>Rem Chq NGANDOUR-NUTRI FOOD-2I IVOIRE INGENIERIE</t>
  </si>
  <si>
    <t>Vir EBUTRANS douane 21/0707</t>
  </si>
  <si>
    <t>Rem Chq AMDS-LASSIRE-ENGIES-CARGILL-ATOU-SOTACI</t>
  </si>
  <si>
    <t>Rem Chq LASSIRE-SEM-LOGIS-UNIWAX-CLEAN EBURNIE-CAS-SUCAF</t>
  </si>
  <si>
    <t>4034320</t>
  </si>
  <si>
    <t>Chq IMPOTS SUR LE LOYER</t>
  </si>
  <si>
    <t>Vir EBUTRANS 21/0745</t>
  </si>
  <si>
    <t>Versement espèces</t>
  </si>
  <si>
    <t>Vir LIMAK AFRIKA</t>
  </si>
  <si>
    <t>Rem Chq SIF PLAST-INTELEC-SPIE FONDATION-RMI-CIE CACAOYERE BANDAMA-SATOM</t>
  </si>
  <si>
    <t>Rem Chq ADEMAT-ATR-DREAM COSMETIC-SCB-IRES-GIB-ATELIER ET DIVERS-SCTII</t>
  </si>
  <si>
    <t>Agios du 31/10 au 30/11/21</t>
  </si>
  <si>
    <t>Salaires Novembre 2021</t>
  </si>
  <si>
    <t>SOS Abidjan DECEMBRE 2021</t>
  </si>
  <si>
    <t>VIREMENT TENTE 207511-204271</t>
  </si>
  <si>
    <t>VIREMENT INOXMARE 114779</t>
  </si>
  <si>
    <t>Rem Chq SUCRIVOIRE</t>
  </si>
  <si>
    <t>Rem Chq  GIB-ACTIS-AIC-COCITAM</t>
  </si>
  <si>
    <t>Vir CAREC 18-319-5072/000489</t>
  </si>
  <si>
    <t>Vir SIDECI 1160/FT139945</t>
  </si>
  <si>
    <t>Vir CMID 20,316,S023/0000402-21,316,S023/00035</t>
  </si>
  <si>
    <t>Vir EBUTRANS 21/0633-21/0595</t>
  </si>
  <si>
    <t>Vir NERE Loyer Dec 2021</t>
  </si>
  <si>
    <t>Vir Primes 2021</t>
  </si>
  <si>
    <t>Vir EBUTRANS douane 21/0798</t>
  </si>
  <si>
    <t>Rem Chq IVOIRE COTON-ATN</t>
  </si>
  <si>
    <t>Rem Chq FLEPACI-PRESTIGE AUTO-SDCI-NGANDOUR-CADERAC</t>
  </si>
  <si>
    <t>Rem Chq SDIPM-LASSIRE-SOLIBRA-SOTICI-DREAM COSMETICS-NUTRI FOOD-FTCI-NG PAGANI</t>
  </si>
  <si>
    <t>4034323</t>
  </si>
  <si>
    <t>4034322</t>
  </si>
  <si>
    <t>Rem Chq SOFID-ENGIE-LASSIRE-CIA</t>
  </si>
  <si>
    <t>Vir EBUTRANS 21/0827</t>
  </si>
  <si>
    <t>Vir EBUTRANS 21/0865</t>
  </si>
  <si>
    <t>Rem Chq 2I IVOIRE-GROUP CARLINE</t>
  </si>
  <si>
    <t>Rem Chq SOGECAR</t>
  </si>
  <si>
    <t>Rem Chq GIB-GROUP CAR LINES-SIF PLAST-AMS</t>
  </si>
  <si>
    <t>Salaires Décembre 2021</t>
  </si>
  <si>
    <t>4034324</t>
  </si>
  <si>
    <t>Agios du 30/11 au 31/12/21</t>
  </si>
  <si>
    <t>Rem Chq SETELCI</t>
  </si>
  <si>
    <t>Rem Chq CIMAF</t>
  </si>
  <si>
    <t>Rem Chq ECOTI-ECOTI-ATR</t>
  </si>
  <si>
    <t>Rem Chq COCITAM-SATOM-CADERAC-SOETIC-ETB SARL</t>
  </si>
  <si>
    <t>SOS Abidjan JANVIER 2022</t>
  </si>
  <si>
    <t>Rem Chq IRES-PRO LOGISTICS</t>
  </si>
  <si>
    <t>Chq ETS TRAORE SAMBA</t>
  </si>
  <si>
    <t>Chq IMPOTS SUR LOYER</t>
  </si>
  <si>
    <t>5781020</t>
  </si>
  <si>
    <t>Rem Chq AIC-AIC-BIG CIM-SOTACI-CEMOI-AIRONE-DREAM COSMETICS-SOTICI-DIBEX</t>
  </si>
  <si>
    <t>Rem Chq RAZEL</t>
  </si>
  <si>
    <t>Chq IMPOTS 2020</t>
  </si>
  <si>
    <t>Rem Chq IVOSEP-NP NGANDOUR-NUTRI FOOD</t>
  </si>
  <si>
    <t>Vir OPHIR GRAPHIC Jan 22</t>
  </si>
  <si>
    <t>Vir EBUTRANS 21/0707-21/0745</t>
  </si>
  <si>
    <t>Vir NORD SUD CTI 47500/126258-126250</t>
  </si>
  <si>
    <t>Vir CMID 21 316 523/00041-56-61</t>
  </si>
  <si>
    <t>Vir NERE Loyer Jan 2022</t>
  </si>
  <si>
    <t>Vir SIDECI 1160/FT139945-1633/FT140414</t>
  </si>
  <si>
    <t>Vir EBUTRANS 22/0011</t>
  </si>
  <si>
    <t>5780876</t>
  </si>
  <si>
    <t>Chq IMPOTS CNPS</t>
  </si>
  <si>
    <t>4034325</t>
  </si>
  <si>
    <t>VIREMENT IMPOTS TSE</t>
  </si>
  <si>
    <t xml:space="preserve">VIREMENT IMPOTS </t>
  </si>
  <si>
    <t>Vir MAURIN Jan 22</t>
  </si>
  <si>
    <t>5780877</t>
  </si>
  <si>
    <t>Frais de Forcage</t>
  </si>
  <si>
    <t>Chq Droits de douane BCF210025</t>
  </si>
  <si>
    <t>Rem Chq MONDI-UNIWAX-ACIERIES-SCB-SPIE FONDATION-CHAMETAL-ARIBAT</t>
  </si>
  <si>
    <t>Rem Chq MIPA-SCODI-SDGISN-LASSIRE-SPAC-INPROBOIS-SEM ENTREPRISE</t>
  </si>
  <si>
    <t>Vir FILATURES TISSAGES SACS</t>
  </si>
  <si>
    <t>5780878</t>
  </si>
  <si>
    <t>Rem Chq BOUYGUES</t>
  </si>
  <si>
    <t>Vir GCCI CI</t>
  </si>
  <si>
    <t>Rem Chq THELEN-ACIS-SOGENA</t>
  </si>
  <si>
    <t>Agios du 31/12/21 au 31/01/22</t>
  </si>
  <si>
    <t>Vir EBUTRANS 22/0110</t>
  </si>
  <si>
    <t>Salaires Janvier 2022</t>
  </si>
  <si>
    <t>Rem Chq RMI-SITBAI-COCITAM-USICHROM-IVMCI</t>
  </si>
  <si>
    <t>Vir FEROUEST</t>
  </si>
  <si>
    <t>Vir NORD SUD CTI 47500/129303-47500/130195</t>
  </si>
  <si>
    <t>Vir EBUTRANS 21319R009/379/21/798-440/21/0827</t>
  </si>
  <si>
    <t>Vir RDT 7662686</t>
  </si>
  <si>
    <t>Vir CENTRIMEX VITF105698</t>
  </si>
  <si>
    <t>Vir SIDECI 21 319 I091/1833</t>
  </si>
  <si>
    <t>Vir CMID 21 316 S023/000160-000198</t>
  </si>
  <si>
    <t>Vir SOCIETE NERE Loyer Fevrier 2022</t>
  </si>
  <si>
    <t>Rem Chq SNEC INDUSTRIE-ETS IMP</t>
  </si>
  <si>
    <t xml:space="preserve">Rem Chq CCB-SIPRO CHIM-PROTECT ALU-SOFID-IRES-RMI-SIVOP-IRES-GROUP CAR LINE </t>
  </si>
  <si>
    <t>Vir EBUTRANS 22/0131</t>
  </si>
  <si>
    <t>Rem Chq CEMOI-CEMOI CHOCOLAT-SDGISN-CARGILL COCOA</t>
  </si>
  <si>
    <t>Rem Chq AIC-ADEMAT-LASSIRE INDUSTRIE</t>
  </si>
  <si>
    <t>SOS Abidjan FEVRIER 2022</t>
  </si>
  <si>
    <t>Rem Chq LA ROUTE AFRICAINE-AMDS 2X-UNIWAX-2I IVOIRE-2 TM-EUROLAIT-SOMEG-CIMAS</t>
  </si>
  <si>
    <t>5780879</t>
  </si>
  <si>
    <t>Chq IMPOTS LOYER FEVRIER 2022</t>
  </si>
  <si>
    <t>Vir DGI</t>
  </si>
  <si>
    <t>Vir EBUTRANS 22/0173</t>
  </si>
  <si>
    <t>Rem Chq EXAT-FTCI-SOLIBRA 2X-EXAT-SIPRO CHIM-COCITAM</t>
  </si>
  <si>
    <t>Rem Chq PRESTIGE AUTO-PALMAFRIQUE-BESIX-SOFID</t>
  </si>
  <si>
    <t>Vir EBUTRANS 22/0180</t>
  </si>
  <si>
    <t>Chq IMPOTS SUR LE LOYER Jan 2022</t>
  </si>
  <si>
    <t>Vir TENTE BCF210020</t>
  </si>
  <si>
    <t>Rem Chq SDIPM-CARENA-FLEPACI-PESCHAUD-CARGILL-SIDMATE-NUTRIFOOD</t>
  </si>
  <si>
    <t>Salaires Fevrier 2022</t>
  </si>
  <si>
    <t>Agios du 31/01 au 28/02/22</t>
  </si>
  <si>
    <t>SOS Abidjan MARS 2022</t>
  </si>
  <si>
    <t>Rem Chq SIDECI-SIDECI-ACTIS-SIDECI-CAS EQUIPEMENTS-ARIBAT</t>
  </si>
  <si>
    <t>Vir EBUTRANS 22/0227</t>
  </si>
  <si>
    <t>Vir EMILE MAURIN FACT 509725</t>
  </si>
  <si>
    <t>Rem Chq SE MTS-ATN-FRIEDLANDER-GROUP CAR LINES</t>
  </si>
  <si>
    <t>5780880</t>
  </si>
  <si>
    <t>5780881</t>
  </si>
  <si>
    <t>Vir NERE Loyer Mars 2022</t>
  </si>
  <si>
    <t>Vir RDT 7663820-7663824-7664161</t>
  </si>
  <si>
    <t>Vir OPHIR GRAPHIC mars 22</t>
  </si>
  <si>
    <t>Vir TTI 21319CI094/0049</t>
  </si>
  <si>
    <t>Vir SIDECI 21 319 IO91/2210-2211-2218</t>
  </si>
  <si>
    <t>Vir SERENITY SA 2021-2022</t>
  </si>
  <si>
    <t>Rem Chq EIPSI-LASSIRE INDUSTRIES</t>
  </si>
  <si>
    <t>versement espèces appro associés</t>
  </si>
  <si>
    <t>Rem Chq ATOU-ACIERIES-SAMELA-DROCOLOR-SCCI-IVOSEP</t>
  </si>
  <si>
    <t>Rem Chq AIC-SOLIBRA-CARGILL COCOA-SAEPP</t>
  </si>
  <si>
    <t>Rem Chq COCITAM-NP GANDOUR-MODI ABIDJAN-DIBEX-2I IVOIRE-SIC5E 2X</t>
  </si>
  <si>
    <t>Vir EBUTRANS 22/0258</t>
  </si>
  <si>
    <t>Vir ABEILLETON</t>
  </si>
  <si>
    <t>Vir SUCRIVOIRE</t>
  </si>
  <si>
    <t>Vir GIE GEMACI</t>
  </si>
  <si>
    <t>Vir SAPH</t>
  </si>
  <si>
    <t>Vir Appro Associe LANGLOIS</t>
  </si>
  <si>
    <t>5780883</t>
  </si>
  <si>
    <t>Vir paiement 50% patente</t>
  </si>
  <si>
    <t>Chq impots sur loyer mars 2022</t>
  </si>
  <si>
    <t>5780882</t>
  </si>
  <si>
    <t>Rem Chq LA ROUTE AFRICAINE-I TRANSMISSION-CCB-KUYO PIPELINE</t>
  </si>
  <si>
    <t>Vir PERSEUS MINING</t>
  </si>
  <si>
    <t>Rem Chq UNIWAX 3X-LASSIRE INDUSTRIE-IRES-SOFID-LASSIRE DECHETS</t>
  </si>
  <si>
    <t>Rem Chq CADERAC-PFO AFRICA-SACRI</t>
  </si>
  <si>
    <t>Agios du 28/02 au 31/03/22</t>
  </si>
  <si>
    <t>Salaires Mars 2022</t>
  </si>
  <si>
    <t>SOS Abidjan AVRIL 2022</t>
  </si>
  <si>
    <t>Chq Impaye SOFID</t>
  </si>
  <si>
    <t>frais Impaye Chq 1000242 SOFID</t>
  </si>
  <si>
    <t>5780884</t>
  </si>
  <si>
    <t>Vir MAURIN FACT 509731</t>
  </si>
  <si>
    <t>Vir INOXMARE FACT 1737</t>
  </si>
  <si>
    <t>Rem Chq EIS-ATR-PROLINE-PROLOGISTICS-SIBM-LOGIS-SOMEG-SN INDIGO</t>
  </si>
  <si>
    <t>Vir EBUTRANS 22/0357</t>
  </si>
  <si>
    <t>Vir NERE Loyer Avril 2022</t>
  </si>
  <si>
    <t>Vir SIDECI 2226/FT140991</t>
  </si>
  <si>
    <t>Vir RDT 7664906</t>
  </si>
  <si>
    <t>Vir EBUTRANS 21319R009/618-22/0110</t>
  </si>
  <si>
    <t>Chq DISA CNPS</t>
  </si>
  <si>
    <t>Rem Chq DREAM COSMETICS 3X-LA BOUTIQUE-SDGISN-CARENA 2X</t>
  </si>
  <si>
    <t>Rem Chq RAZEL-SCB</t>
  </si>
  <si>
    <t xml:space="preserve">Vir Impots </t>
  </si>
  <si>
    <t>5780885</t>
  </si>
  <si>
    <t>Rem Chq SOFID</t>
  </si>
  <si>
    <t>Frais DGI</t>
  </si>
  <si>
    <t>Vir CCIFCI Formation Tanoh</t>
  </si>
  <si>
    <t>Rem Chq NUTRI FOOD-SISAG-UNIWAX-SEM</t>
  </si>
  <si>
    <t>Vir NERE Loyer Mai 2022</t>
  </si>
  <si>
    <t>Vir CMID 21 316 SO23/000241-246-253-254</t>
  </si>
  <si>
    <t>Vir SIDECI 2314/FT141078-2315/FT141079-21 319 IO91/2617-21 319 IO91/2705/FT141462</t>
  </si>
  <si>
    <t>Vir EBUTRANS 22/0173-22/0180</t>
  </si>
  <si>
    <t>Rem Chq 2TM-SPTS INTER-USICHROM</t>
  </si>
  <si>
    <t>Salaires Avril 2022</t>
  </si>
  <si>
    <t>Vir EBUTRANS 22/0445</t>
  </si>
  <si>
    <t>Agios du 31/03 au 30/04/22</t>
  </si>
  <si>
    <t>SOS Abidjan MAI 2022</t>
  </si>
  <si>
    <t>5780886</t>
  </si>
  <si>
    <t>Vir MAURIN FACT 621320,651532 + AVANCE 646990</t>
  </si>
  <si>
    <t>Vir TENTE FACT V5 214855</t>
  </si>
  <si>
    <t>Rem Chq ACIERIES IMPAYE DU 29/03/22</t>
  </si>
  <si>
    <t>Rem Chq SOGENA-DREAM COSMETICS-SOTICI</t>
  </si>
  <si>
    <t>Vir MODEC</t>
  </si>
  <si>
    <t>Rem Chq DOMINIUM SERVICES</t>
  </si>
  <si>
    <t>Rem Chq SOFID-RMI-RMI-RMI-IRES</t>
  </si>
  <si>
    <t>Rem Chq PFO-MEDLOG-SIDECI 2X-FRANZETTI-NELL MICI EMBACI-SIC5E</t>
  </si>
  <si>
    <t xml:space="preserve">Chq impots sur loyer Avril 2022 </t>
  </si>
  <si>
    <t>Rem Chq UNIWAX-CARENA-UNIWAX-MATIERE IVOIRE</t>
  </si>
  <si>
    <t>Rem Chq ADEMAT-COCITAM-CADERAC-AMDS-CEMOI 2X</t>
  </si>
  <si>
    <t>Vir EBUTRANS 22/0501</t>
  </si>
  <si>
    <t>5780888</t>
  </si>
  <si>
    <t>5780887</t>
  </si>
  <si>
    <t>Vir EVIOSYS PACKAGING SIEM</t>
  </si>
  <si>
    <t>Frais Enregistrement Nantissement 20Mo</t>
  </si>
  <si>
    <t>Chq Hotel LA TERRASSE</t>
  </si>
  <si>
    <t>Rem Chq 2TM</t>
  </si>
  <si>
    <t>Rem Chq IRES-CI AFRIQUE-USICHROM-ATOU-CIA-UNIWAX-PFO</t>
  </si>
  <si>
    <t>5780889</t>
  </si>
  <si>
    <t>Salaires Mai 2022</t>
  </si>
  <si>
    <t xml:space="preserve">Chq impots sur loyer Mai 2022 </t>
  </si>
  <si>
    <t>Agios du 30/04 au 31/05/22</t>
  </si>
  <si>
    <t>Vir PRAGMA FORMATION Regul FDFP 2021</t>
  </si>
  <si>
    <t>Vir CCI France 745/2022</t>
  </si>
  <si>
    <t>Vir CENTRIMEX VITF201818-VITF201792</t>
  </si>
  <si>
    <t>Vir MEDIAROCH 25</t>
  </si>
  <si>
    <t>Vir RDT 7665565-7666528</t>
  </si>
  <si>
    <t>Vir EBUTRANS 22/0227-22/0258</t>
  </si>
  <si>
    <t>Vir EIS CI 000179-000219-000287</t>
  </si>
  <si>
    <t>Vir EBUTRANS 22/0494</t>
  </si>
  <si>
    <t>Rem Chq SIDMATE-IVOSEP-IVOSEP</t>
  </si>
  <si>
    <t>SOS Abidjan JUIN 2022</t>
  </si>
  <si>
    <t>5780890</t>
  </si>
  <si>
    <t xml:space="preserve">Chq BOCO STEEV PAGAL </t>
  </si>
  <si>
    <t>Rem Chq SOLIBRA-BOUYGUES-ATN-SIPRO CHIM-NUTRI FOOD</t>
  </si>
  <si>
    <t>Vir MAURIN solde FA621320 et FA646990</t>
  </si>
  <si>
    <t>Vir EBUTRANS 22/0555-0578-0579</t>
  </si>
  <si>
    <t>Rem Chq 2I IVOIRE-AIC-PRESTIGE AUTO-THELEN-MICI EMBACI-UNIWAX 2X</t>
  </si>
  <si>
    <t>5780891</t>
  </si>
  <si>
    <t>Vir NERE Loyer Juin 2022</t>
  </si>
  <si>
    <t>5780892</t>
  </si>
  <si>
    <t>5780893</t>
  </si>
  <si>
    <t>Chq renouvellement bail magasin</t>
  </si>
  <si>
    <t xml:space="preserve">Chq impots sur loyer Juin 2022 </t>
  </si>
  <si>
    <t xml:space="preserve">virement impôts BIC </t>
  </si>
  <si>
    <t>Chq Impaye ATN??</t>
  </si>
  <si>
    <t>Frais Chq Impaye</t>
  </si>
  <si>
    <t>Rem Chq MIPA-CEMOI 2X</t>
  </si>
  <si>
    <t>Rem Chq SCB-LES CENTAURES-SPAC-SOFID-SDGISN-EMI-IRES-LASSIRE INDUSTRIE</t>
  </si>
  <si>
    <t>Rem Chq SCODI-SOTACI-SOGENA-DROCOLOR</t>
  </si>
  <si>
    <t>Rem Chq SIBM-LASSIRE-COCITAM-SOLIBRA-ACTIS CI-SETEL CI-BESIX-I TRANSMISSION</t>
  </si>
  <si>
    <t>Rem Chq PFO-UNIWAX 3X-CEMOI-PALMAFRIQUE-SEM ENTREPRISES</t>
  </si>
  <si>
    <t>Salaires Juin 2022</t>
  </si>
  <si>
    <t>Agios du 31/05 au 30/06/22</t>
  </si>
  <si>
    <t>SOS Abidjan JUILLET 2022</t>
  </si>
  <si>
    <t>Rem Chq MONDI-CARGILL-SE MTS-FRIEDLANDER-SN INDIGO-SOFIM</t>
  </si>
  <si>
    <t>Vir EBUTRANS 22/0642</t>
  </si>
  <si>
    <t>Vir NERE Loyer Juillet 2022</t>
  </si>
  <si>
    <t>Vir CENTRIMEX VITF202120-202121-202123</t>
  </si>
  <si>
    <t>Vir EBUTRANS 22/0357-22/0445</t>
  </si>
  <si>
    <t>Vir SIDECI FT141932-22313IO91/3388</t>
  </si>
  <si>
    <t>Vir PRAGMA Regul FDFP 2021</t>
  </si>
  <si>
    <t>Vir INOXMARE FACTURE 11080</t>
  </si>
  <si>
    <t>Vir TENTE FACTURE V5222867</t>
  </si>
  <si>
    <t>Rem Chq CARENA-USICHROM 2X-</t>
  </si>
  <si>
    <t>Vir FILATURES TISSAGES</t>
  </si>
  <si>
    <t>Vir EBUTRANS 22/0684</t>
  </si>
  <si>
    <t>5780894</t>
  </si>
  <si>
    <t>5780895</t>
  </si>
  <si>
    <t>5780896</t>
  </si>
  <si>
    <t>VIREMENT IMPOTS</t>
  </si>
  <si>
    <t>Rem Chq CADERAC-EUROLAIT-SITBAI-LES CENTAURES-SIDECI 2X-SDIPM</t>
  </si>
  <si>
    <t>Rem Chq SOTACI-ETATS NEWS-SOFID</t>
  </si>
  <si>
    <t>Vir CHAVESBAO BCF220014</t>
  </si>
  <si>
    <t>Versement espèces appro associés</t>
  </si>
  <si>
    <t>Vir EBUTRANS 22/0736</t>
  </si>
  <si>
    <t>Rem Chq ATN-PRO INDUSTRIE-NUTRI FOOD-SIDMATE-NP GANDOUR-AIC</t>
  </si>
  <si>
    <t>Rem Chq RAZEL-HOTEL TIAMA</t>
  </si>
  <si>
    <t>Rem Chq IVOIRE INGENIERIE</t>
  </si>
  <si>
    <t>Rem Chq LA ROUTE AFRICAINE-TC-COCITAM-CEFIND</t>
  </si>
  <si>
    <t>Rem Chq CONTINENTAL BEVERAGE</t>
  </si>
  <si>
    <t>5780898</t>
  </si>
  <si>
    <t>Chq IMPOTS  LOYER NERE</t>
  </si>
  <si>
    <t xml:space="preserve"> Chq REGLEMENT CNPS</t>
  </si>
  <si>
    <t>5780897</t>
  </si>
  <si>
    <t>Vir EMILE MAURIN FACT 913624</t>
  </si>
  <si>
    <t>Vir INDEX FACTURE 24171 DU 19/07/22</t>
  </si>
  <si>
    <t>Rem Chq INDUSBOIS-IRES</t>
  </si>
  <si>
    <t>Salaires Juillet 2022</t>
  </si>
  <si>
    <t>5780899</t>
  </si>
  <si>
    <t>Rem Chq INPROBOIS-RMI-MONDI-PROLINE-COLAS-UNIWAX</t>
  </si>
  <si>
    <t>5780900</t>
  </si>
  <si>
    <t>Agios du 30/06 au 31/07/22</t>
  </si>
  <si>
    <t>5780901</t>
  </si>
  <si>
    <t>Vir ESA EGLIN</t>
  </si>
  <si>
    <t>Vir EBUTRANS 22/0889</t>
  </si>
  <si>
    <t>5780902</t>
  </si>
  <si>
    <t>5780903</t>
  </si>
  <si>
    <t>5780904</t>
  </si>
  <si>
    <t>Vir NERE Loyer Aout 2022</t>
  </si>
  <si>
    <t>Vir RDT 7670276</t>
  </si>
  <si>
    <t>Vir EBUTRANS 22319R009/1343-1356-1404-1405-1406</t>
  </si>
  <si>
    <t>Vir CENTRIMEX VITF202335</t>
  </si>
  <si>
    <t>Vir CMID 21 316 SO23/00670</t>
  </si>
  <si>
    <t>Vir PRAGMA Formation Regul FDFP 2021</t>
  </si>
  <si>
    <t>Rem Chq ARIBAT-BESIX-ADEMAT-FRIEDLANDER-SAMELA-LASSIRE DECHETS-LASSIRE INDUSTRIE</t>
  </si>
  <si>
    <t>Rem Chq MICI EMBACI-EXAT-UNIWAX 2X-USICHROM-SIVOP-SKCI</t>
  </si>
  <si>
    <t>Rem Chq BESIX-SCB-COCITAM</t>
  </si>
  <si>
    <t>Rem Chq ECOTI</t>
  </si>
  <si>
    <t>Vir MAURIN FACTURE 946369</t>
  </si>
  <si>
    <t>Rem Chq CI THERM-LASSIRE INDUSTRIE</t>
  </si>
  <si>
    <t>Rem Chq PROLINE-IRES-UNIWAX-INPROBOIS-CARENA-SEM ENTREPRISES</t>
  </si>
  <si>
    <t xml:space="preserve">Chq impots sur loyer JUILLET 2022 </t>
  </si>
  <si>
    <t xml:space="preserve">Chq impots sur loyer AOUT 2022 </t>
  </si>
  <si>
    <t>Chq CARTOUCHE ENCRE EIEE ENTREPRISE</t>
  </si>
  <si>
    <t>SOS Abidjan AOUT 2022</t>
  </si>
  <si>
    <t>Chq REGLEMENT HONORAIRE HUISSIER</t>
  </si>
  <si>
    <t>Chq IMPOTS BIC 2IEME VERSEMENT</t>
  </si>
  <si>
    <t>Vir JULAYA CI</t>
  </si>
  <si>
    <t>Vir EBUTRANS 22/0909</t>
  </si>
  <si>
    <t>Vir EBUTRANS 22/0908</t>
  </si>
  <si>
    <t>Rem Chq SOGECAR-AIC-EUROLAIT-ECO EBURNIE-SITBAI-SOGENA-RAZEL-SOFID-EXAT-2I IVOIRE</t>
  </si>
  <si>
    <t>Agios du 31/07 au 31/08/22</t>
  </si>
  <si>
    <t>SOS Abidjan SEPTEMBRE 2022</t>
  </si>
  <si>
    <t>Salaires Aout 2022</t>
  </si>
  <si>
    <t>Frais de forcage</t>
  </si>
  <si>
    <t>Rem Chq SAREPT-CEMOI-SIPRO CHIM-SOUDOTEC-SCTII 2X</t>
  </si>
  <si>
    <t>5780905</t>
  </si>
  <si>
    <t>Vir Impôts IMF</t>
  </si>
  <si>
    <t>Rem Chq SOTACI-PALMAFRIQUE-THELEN</t>
  </si>
  <si>
    <t>Vir NERE Loyer Sept 2022</t>
  </si>
  <si>
    <t>Vir EBUTRANS 22319R009/0001474-1510-1552</t>
  </si>
  <si>
    <t>Vir CENTRIMEX VITF203281-VITF203283</t>
  </si>
  <si>
    <t>Vir CAREC 21319IO98/000279</t>
  </si>
  <si>
    <t>Vir SIDECI FT142624/3886-FT142811/4078</t>
  </si>
  <si>
    <t>Vir RDT 7669906-7671397</t>
  </si>
  <si>
    <t>Rem Chq SCB-ACIERIES-LES CENTAURES ROUTIERS-SOFIM-IVOSEP-SOLIBRA</t>
  </si>
  <si>
    <t>Rem Chq SDIPM-AIKA CONSTRUCTION-CCB-CCB</t>
  </si>
  <si>
    <t>Rem Chq SCCI-UNIWAX-CEMOI-LASSIRE INDUSTRIE</t>
  </si>
  <si>
    <t>Vir EBUTRANS 22/0962</t>
  </si>
  <si>
    <t>Rem Chq COCITAM-EUROLAIT-CADERAC-SLA-SOFID</t>
  </si>
  <si>
    <t>Rem Chq SIBM-SKCI-LASSIRE DECHETS-I TRANSMISSIONS</t>
  </si>
  <si>
    <t>Vir CHAVESBAO BCF220021 Pro forma 5685</t>
  </si>
  <si>
    <t>Rem Chq TERMINAL VRAQUIER-ETS KADYDIER-STE MINIERE LA LOBO-IRES-INTRATEC-SOGECAR-EIPSI-BOUYGUES</t>
  </si>
  <si>
    <t>Vir EBUTRANS 1060-22</t>
  </si>
  <si>
    <t>Rejet Vir NERE loyer Sept 2022</t>
  </si>
  <si>
    <t>5780907</t>
  </si>
  <si>
    <t>5780906</t>
  </si>
  <si>
    <t>5780908</t>
  </si>
  <si>
    <t>Salaires Sept 2022</t>
  </si>
  <si>
    <t>Rem Chq SOTACI-PFO-PFO-NP GANDOUR-KUYO PIPELINE-PROTECT ALU</t>
  </si>
  <si>
    <t>Rem Chq LASSIRE INDUSTRIE-BOUYGUES-COLAS AFRIQUE</t>
  </si>
  <si>
    <t>SOS Abidjan OCTOBRE 2022</t>
  </si>
  <si>
    <t>Agios du 31/08 au 30/09/22</t>
  </si>
  <si>
    <t>Vir CARGILL</t>
  </si>
  <si>
    <t>Vir INOXMARE BCF220016 FACTURE 19804</t>
  </si>
  <si>
    <t>Vir NOPCI</t>
  </si>
  <si>
    <t>Rem Chq SIDECI 2X-TRANS ROULEMENT-SOFIM-NORCOCI JANV/FEV/MARS 2022</t>
  </si>
  <si>
    <t>Chq Impots sur Loyer</t>
  </si>
  <si>
    <t>Vir SOCIETE AFRICAINE DE CACAO</t>
  </si>
  <si>
    <t>Vir CAREC 21319IO98/000279 bis</t>
  </si>
  <si>
    <t>Vir SOFID 22316ZO31/000858-867-928-1058-1057</t>
  </si>
  <si>
    <t>Vir CMID 31316SO23/00702-298</t>
  </si>
  <si>
    <t>Vir SIDECI FT143014</t>
  </si>
  <si>
    <t>Vir SIDAM Assurance SOS 2022-2023</t>
  </si>
  <si>
    <t>Vir RDT 7672642</t>
  </si>
  <si>
    <t>Vir EBUTRANS 1685-1717-1727</t>
  </si>
  <si>
    <t>Vir IMPOTS TVA/SALAIRES/APPRENTISSAGE</t>
  </si>
  <si>
    <t>Vir IMPOTS DROITS DE TIMBRE</t>
  </si>
  <si>
    <t>Vir IMPOTS TAXE SPECIALE EQUIPEMENT TSE</t>
  </si>
  <si>
    <t>5780910</t>
  </si>
  <si>
    <t>5780912</t>
  </si>
  <si>
    <t>5780909</t>
  </si>
  <si>
    <t>Rem Chq DREAM COSMETICS 2X-EIPSI SARL-UNIWAX 2X</t>
  </si>
  <si>
    <t>Vir CLEAN EBURNIE</t>
  </si>
  <si>
    <t>Rem Chq AIC-NVELLE MICI EMBACI-ESSOR INDUSTRIE ET SERVICES</t>
  </si>
  <si>
    <t>Vir RFCT</t>
  </si>
  <si>
    <t>Ext Agios du 31/08 au 30/09/22</t>
  </si>
  <si>
    <t>Rem Chq USICHROM-COCITAM</t>
  </si>
  <si>
    <t>5780911</t>
  </si>
  <si>
    <t>Chq NERE LOYER ANNULE</t>
  </si>
  <si>
    <t>5780913</t>
  </si>
  <si>
    <t xml:space="preserve">Chq IMPOT LOYER SOCIETE NERE </t>
  </si>
  <si>
    <t>Chq Impots sur Loyer NERE</t>
  </si>
  <si>
    <t>Chq IMPOT CNPS</t>
  </si>
  <si>
    <t>Rem Chq PFO AFRICA-SOFIM</t>
  </si>
  <si>
    <t>Vir TENTE FACT V5 226601</t>
  </si>
  <si>
    <t>Rem Chq SOFID-INTRATEC-LASSIRE-GIE GEMACI-2TM</t>
  </si>
  <si>
    <t>Vir B STEEL</t>
  </si>
  <si>
    <t>Vir EBUTRANS Douane 22-1195 / 22-1196 / 22-1179</t>
  </si>
  <si>
    <t>Rem Chq KUYO PIPELINE-UNIWAX-IVOSEP-MIPA-RAZEL-SIC 5E</t>
  </si>
  <si>
    <t>Retrait espece LOYER SEPT/OCT 2022</t>
  </si>
  <si>
    <t>5780914</t>
  </si>
  <si>
    <t>Salaires Oct 2022</t>
  </si>
  <si>
    <t>Rem Chq AFRICA GLOBAL MARKET-SOLIBRA-SE MTS-SCCI</t>
  </si>
  <si>
    <t>Agios du 30/09 au 31/10/22</t>
  </si>
  <si>
    <t>Rem Chq EMI SARL-THELEN-BOUYGUES</t>
  </si>
  <si>
    <t>5780915</t>
  </si>
  <si>
    <t>Rem Chq USICHROM-RMI 2X-TC AFRIQUE-CARENA-SIDECI</t>
  </si>
  <si>
    <t>5780916</t>
  </si>
  <si>
    <t>5780917</t>
  </si>
  <si>
    <t>Chq OIM TRAVEL billet d'avion</t>
  </si>
  <si>
    <t>Chq avance hotel LA TERRASSE</t>
  </si>
  <si>
    <t>Vir EMILE MAURIN Facture 301606 BCF220015</t>
  </si>
  <si>
    <t>Vir SOFID 1765</t>
  </si>
  <si>
    <t>Vir CENTRIMEX VITF203790</t>
  </si>
  <si>
    <t>Vir EBUTRANS 1818-1859</t>
  </si>
  <si>
    <t>Vir NERE Loyer Nov 2022</t>
  </si>
  <si>
    <t>frais Impaye Chq EMI</t>
  </si>
  <si>
    <t>frais Impaye Chq AFRICA GLOBAL MARKET</t>
  </si>
  <si>
    <t>Chq Impaye EMI</t>
  </si>
  <si>
    <t>Chq Impaye AFRICA GLOBAL MARKET</t>
  </si>
  <si>
    <t>Chq LES FER D’AFRIQUE</t>
  </si>
  <si>
    <t>Rem Chq LA ROUTE AFRICAINE-SCODI-LASSIRE INDUSTRIE</t>
  </si>
  <si>
    <t>Rem Chq B STEEL</t>
  </si>
  <si>
    <t>5780918</t>
  </si>
  <si>
    <t>5780919</t>
  </si>
  <si>
    <t>Rem Chq ARIBAT-ADEMAT-ADEMAT</t>
  </si>
  <si>
    <t>Rem Chq PRO LOGISTICS-ECO EBURNIE-MONDI</t>
  </si>
  <si>
    <t>Rem Chq AFRICA GLOBAL MARKET</t>
  </si>
  <si>
    <t>Vir ABRASIVOS GRINDING FACT147472 BCF220024</t>
  </si>
  <si>
    <t>Rem Chq CARENA-SDIPM-ABIBAT-LUBITECH-LA FERME DE BEOUMI-CADERAC-USICHROM-SOGENA-SOUDOTEC</t>
  </si>
  <si>
    <t>Vir EBUTRANS dossier 22/1331</t>
  </si>
  <si>
    <t>Vir EBUTRANS dossier 22/1313</t>
  </si>
  <si>
    <t>5780920</t>
  </si>
  <si>
    <t>SOS Abidjan NOVEMBRE 2022</t>
  </si>
  <si>
    <t>Salaires Nov 2022</t>
  </si>
  <si>
    <t>Rem Chq BESIX-SOTACI-EUROLAIT-SOLIBRA</t>
  </si>
  <si>
    <t>Rem Chq EIPSI-MEDLOG-BOUYGUES-HOTEL TIAMA 2X-AIRONE</t>
  </si>
  <si>
    <t>Rem Chq SA ATOU-NG PAGANI-LASSIRE DECHETS-CEMOI 2X-UNIWAX-COCITAM-NEFBA-SOFID</t>
  </si>
  <si>
    <t>Rem Chq BOUYGUES-LA BOUTIQUE-INPROBOIS</t>
  </si>
  <si>
    <t>SOS Abidjan DECEMBRE 2022</t>
  </si>
  <si>
    <t>5780921</t>
  </si>
  <si>
    <t>5780922</t>
  </si>
  <si>
    <t>Chq SOLDE LA TERRASSE</t>
  </si>
  <si>
    <t>Chq Loyer NERE</t>
  </si>
  <si>
    <t>Rem Chq USICHROM-I TRANSMISSION-LASSIRE-DORADO IVOIRY-BESIX</t>
  </si>
  <si>
    <t>Vir CHAVESBAO BCF220027</t>
  </si>
  <si>
    <t>Vir TSK</t>
  </si>
  <si>
    <t>Vir EBUTRANS Douane 22-1419</t>
  </si>
  <si>
    <t>Vir EBUTRANS Douane 22-1433</t>
  </si>
  <si>
    <t>Vir SOCIETE AFRICAINE DE PLANTATIONS</t>
  </si>
  <si>
    <t>5780923</t>
  </si>
  <si>
    <t>5780924</t>
  </si>
  <si>
    <t>Rem Chq ADEMAT-SUCRIVOIRE-SEM ENTREPRISES</t>
  </si>
  <si>
    <t>Rem Chq IVOSEP-SOTICI-BDCI</t>
  </si>
  <si>
    <t>Vir EBUTRANS 2029</t>
  </si>
  <si>
    <t>Vir HESNAULT 22211279</t>
  </si>
  <si>
    <t>Vir SIDAM SA Assurance 2022-2023</t>
  </si>
  <si>
    <t>Vir RDT 7674572-7675791</t>
  </si>
  <si>
    <t>Vir CENTRIMEX VITF204381-VITF204382</t>
  </si>
  <si>
    <t>Vir SIDECI FT143589-FT143648</t>
  </si>
  <si>
    <t>Vir EIS CI 21319R009/433</t>
  </si>
  <si>
    <t>Vir CMID 21316S023/314-319</t>
  </si>
  <si>
    <t>Vir BCEAO??</t>
  </si>
  <si>
    <t>Rem Chq RAZEL-ARIBAT-IVOIRE INGENIERIE-INDUSBOIS-CEMOI</t>
  </si>
  <si>
    <t>Rem Chq COCITAM-LES ACIERIES</t>
  </si>
  <si>
    <t>Vir INOXMARE Fact 27347 BCF220025</t>
  </si>
  <si>
    <t>Gratifications 2022</t>
  </si>
  <si>
    <t>Rem Chq IRES-GIB-AMS</t>
  </si>
  <si>
    <t>Rem Chq ECO EBURNIE-EUROLAIT-UNIWAX-BESIX</t>
  </si>
  <si>
    <t>Vir EMILE MAURIN FA373896/AV384115 BCF220022</t>
  </si>
  <si>
    <t>Rem Chq BOUYGUES-ECOTI-NUTRI FOOD-ETAB NEWS</t>
  </si>
  <si>
    <t>Vir  ABEILLE CARRIERE</t>
  </si>
  <si>
    <t>5780925</t>
  </si>
  <si>
    <t>Chq SID INVEST</t>
  </si>
  <si>
    <t>Regul BCEAO</t>
  </si>
  <si>
    <t>Vir RAZEL</t>
  </si>
  <si>
    <t>Vir SOCIETE AFRICAINE CACAO</t>
  </si>
  <si>
    <t>Vir GEMACI</t>
  </si>
  <si>
    <t>Salaires Dec 2022</t>
  </si>
  <si>
    <t>Agios du 30/11 au 31/12/22</t>
  </si>
  <si>
    <t>Rem Chq NP GANDOUR-SCTII-CIMAS-COMPAGNIE CACAOYERE DU BANDAMA</t>
  </si>
  <si>
    <t>Rem Chq SGTMCI-CMR GRANIT-LASSIRE INDUSTRIE-LASSIRE DECHETS</t>
  </si>
  <si>
    <t>SOS Abidjan JANVIER 2023</t>
  </si>
  <si>
    <t>Vir INDEX Pro forma BCF220030</t>
  </si>
  <si>
    <t>5780927</t>
  </si>
  <si>
    <t>5780928</t>
  </si>
  <si>
    <t>Chq LA POSTE CI</t>
  </si>
  <si>
    <t>Vir SANGENICE Communication DEV  86</t>
  </si>
  <si>
    <t>Vir OPHIR Fact Proforma</t>
  </si>
  <si>
    <t>Vir MEDIAROCH 21316IO46/059</t>
  </si>
  <si>
    <t>Vir HESNAULT 22211977</t>
  </si>
  <si>
    <t>Vir RDT 7676383</t>
  </si>
  <si>
    <t>Vir EBUTRANS 2022-2025-2058-2063</t>
  </si>
  <si>
    <t>Vir SOFID 2899</t>
  </si>
  <si>
    <t>Vir CMID 21316SO23/322-326-327-330</t>
  </si>
  <si>
    <t>Rem Chq SEM ENTREPRISES-CACOMIAF-NUTRI FOOD</t>
  </si>
  <si>
    <t>Vir IMPOTS</t>
  </si>
  <si>
    <t>Vir IMPOTS TIMBRES</t>
  </si>
  <si>
    <t>Vir IMPOTS TAXE SPECIALE D EQUIPEMENT</t>
  </si>
  <si>
    <t>5780929</t>
  </si>
  <si>
    <t>Chq AIR COTE D IVOIRE</t>
  </si>
  <si>
    <t>5780930</t>
  </si>
  <si>
    <t>5780931</t>
  </si>
  <si>
    <t>5780932</t>
  </si>
  <si>
    <t>Rem Chq DREAM COSMETICS-SOCIETE MINIERE DE LA LOBO-SOFID-PFO AFRICA</t>
  </si>
  <si>
    <t>Rem Chq SIDECI 3X-ATOU-EIS CI-LA ROUTE AFRICAINE</t>
  </si>
  <si>
    <t>Rem Chq SN INDIGO-IDS-SCB 4X-SIBM</t>
  </si>
  <si>
    <t>Vir EBUTRANS Douane 23-0010</t>
  </si>
  <si>
    <t>Rem Chq UNIWAX-EIPSI-UNIWAX-TC AFRIQUE-SOLIBRA-SOETIC-ATR-CIDT</t>
  </si>
  <si>
    <t>5780933</t>
  </si>
  <si>
    <t>Chq IMPOT CNPS 4 ième trimestre</t>
  </si>
  <si>
    <t>5780934</t>
  </si>
  <si>
    <t>Chq CMU</t>
  </si>
  <si>
    <t>Vir EBUTRANS Douane 23-0017</t>
  </si>
  <si>
    <t>Rem Chq BIG CIM-CEFIND-GEMA CONSTRUCT-CARGILL COCOA-NP PAGANI</t>
  </si>
  <si>
    <t>Rem Chq SOFID-PFO AFRICA-COCITAM</t>
  </si>
  <si>
    <t>Vir AGBAOU GOLD OP</t>
  </si>
  <si>
    <t>Rem Chq USICHROM 2X-IVOSEP-FTCI-AIC-MEDLOG-SOGENA</t>
  </si>
  <si>
    <t>Rem Chq SOETIC-SACRI-COPACI-USICHROM</t>
  </si>
  <si>
    <t>Vir EMILE MAURIN FACT402058 BCF220026</t>
  </si>
  <si>
    <t>5780935</t>
  </si>
  <si>
    <t>Rem Chq INPROBOIS-AMDS-CIMELEC IVOIRE-B STEEL-INTRATEC-SOTACI</t>
  </si>
  <si>
    <t>Vir EBUTRANS Douane 23-0150</t>
  </si>
  <si>
    <t>Salaires Jan 2023</t>
  </si>
  <si>
    <t>SOS Abidjan FEVRIER 2023</t>
  </si>
  <si>
    <t>Agios du 31/12/22 au 31/01/23</t>
  </si>
  <si>
    <t>Vir SOFID 22316ZO31/003206</t>
  </si>
  <si>
    <t>Vir HESNAULT 22213132-22213134</t>
  </si>
  <si>
    <t>Vir EBUTRANS 2143-2149-2216</t>
  </si>
  <si>
    <t>Vir SIDECI FT144264</t>
  </si>
  <si>
    <t>Vir CMID 21316SO23/334</t>
  </si>
  <si>
    <t>Vir BOLLORE 16500/P0032958-2060012767</t>
  </si>
  <si>
    <t>Rem Chq SPY</t>
  </si>
  <si>
    <t>Rem Chq NANO-PFO-LASSIRE INDUSTRIE-ITL-ADEMAT 2X</t>
  </si>
  <si>
    <t>Rem Chq SIDMATE-MIPA-CARENA</t>
  </si>
  <si>
    <t>Vir CHAVESBAO BCF220032 PF5827</t>
  </si>
  <si>
    <t>5780936</t>
  </si>
  <si>
    <t>Rem Chq LUBITECH-CEMOI2x-UNIWAX2X-GIB</t>
  </si>
  <si>
    <t>Vir EBUTRANS Douane 23-0227</t>
  </si>
  <si>
    <t>Vir CREDIT ACCESS</t>
  </si>
  <si>
    <t>Rem Chq SIDECI-CADERAC-RAZEL</t>
  </si>
  <si>
    <t>Vir TENTE FACT V5 235352 BCF220023</t>
  </si>
  <si>
    <t>Rem Chq LUBITECH-INTELEC PROTECTION-KUYO PIPELINE-COCITAM-DREAM COSMETICS</t>
  </si>
  <si>
    <t>5780938</t>
  </si>
  <si>
    <t>5780937</t>
  </si>
  <si>
    <t>5780939</t>
  </si>
  <si>
    <t>5780940</t>
  </si>
  <si>
    <t>Vir ETS KADYDIER</t>
  </si>
  <si>
    <t>Salaires Fev 2023</t>
  </si>
  <si>
    <t>SOS Abidjan MARS 2023</t>
  </si>
  <si>
    <t>Vir DELA FAC 2302422</t>
  </si>
  <si>
    <t>Rem Chq SE MTS-FRIEDLANDER-SKCI</t>
  </si>
  <si>
    <t>Rem Chq BOUYGUES-IVOIRE COTON-LASSIRE DECHETS 2X</t>
  </si>
  <si>
    <t>Rem Chq SUCRIVOIRE-FRIEDLANDER-LASSIRE-SIVOP-SG AGRO-MEDLOG TRANSPORT-SARCI</t>
  </si>
  <si>
    <t>Rem Chq SDTM CI</t>
  </si>
  <si>
    <t>Rem Chq CCB-SCCI-EXAT 2X-SCB-INTRATEC-CARENA-CELOI-IMP-SOFIM</t>
  </si>
  <si>
    <t>Vir ABRASIVOS GRINDING FACT 151406</t>
  </si>
  <si>
    <t>Chq KEITA MAMADOU</t>
  </si>
  <si>
    <t>Vir IMPOTS REGLEMENT TVA JANVIER 2023</t>
  </si>
  <si>
    <t>Vir EMILE MAURIN FACT436735 BCF220028</t>
  </si>
  <si>
    <t>Vir INOXMARE FACT34534 BCF220029</t>
  </si>
  <si>
    <t>Rem Chq UNIWAX-SOFID</t>
  </si>
  <si>
    <t>5780941</t>
  </si>
  <si>
    <t>Rem Chq USICHROM-ADEMAT-ACTIS CI-SIPROCHIM CHIM</t>
  </si>
  <si>
    <t>Vir EBUTRANS Douane 23-0294 BCF220033</t>
  </si>
  <si>
    <t>Vir IMPOTS tva patente salaires…..</t>
  </si>
  <si>
    <t xml:space="preserve"> </t>
  </si>
  <si>
    <t>Vir EBUTRANS 22319R009/0002375-0002390</t>
  </si>
  <si>
    <t>Vir HESNAULT 22300188</t>
  </si>
  <si>
    <t xml:space="preserve">Vir CMID 22316S023/000344-000345 </t>
  </si>
  <si>
    <t xml:space="preserve">Vir SIDECI 22319IO91/1561 </t>
  </si>
  <si>
    <t xml:space="preserve">Vir SOFID 22316ZO31/003737 </t>
  </si>
  <si>
    <t>Vir BOLLORE 1960005583</t>
  </si>
  <si>
    <t>Rem Chq SOGECAR-NP GANDOUR-RMI 3X</t>
  </si>
  <si>
    <t>5780942</t>
  </si>
  <si>
    <t>Vir FILATURES TISSAGE</t>
  </si>
  <si>
    <t>Rem Chq CIMELEC-KAMA-NORCOCI 04/05/06 2021</t>
  </si>
  <si>
    <t>Rem chq NORCOCI LOYER SS LOC 07/08/09 2021</t>
  </si>
  <si>
    <t>Rem Chq SDIPM 2X-COCITAM-LASSIRE 2X-SIF PLAST-NORCOCI 10/11/12 2021</t>
  </si>
  <si>
    <t>Rem Chq AIC-UNIWAX-CARGILL COCOA-NORCOCI 04/05/06 2022</t>
  </si>
  <si>
    <t>Rem Chq CMID-USICHROM-COLAS AFRIQUE</t>
  </si>
  <si>
    <t>5780945</t>
  </si>
  <si>
    <t>5780944</t>
  </si>
  <si>
    <t>5780943</t>
  </si>
  <si>
    <t>Chq AIR COTE D'IVOIRE</t>
  </si>
  <si>
    <t>ANNULE POUR RATURE</t>
  </si>
  <si>
    <t>Vir EBUTRANS Douane 23-0358</t>
  </si>
  <si>
    <t>Rem Chq FRANZETTI-COCITAM-PFO AFRICA-LASSIRE INDUSTRIE-NEW INDUSTRY COMPANY</t>
  </si>
  <si>
    <t>Vir EBUTRANS Douane 23-0373</t>
  </si>
  <si>
    <t>Vir EBUTRANS Douane 23-0376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</si>
</sst>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F&quot;;[Red]\-#,##0\ &quot;F&quot;"/>
    <numFmt numFmtId="165" formatCode="#,##0\ &quot;F&quot;"/>
    <numFmt numFmtId="166" formatCode="dd/mm/yy"/>
    <numFmt numFmtId="167" formatCode="_-* #,##0.00\ [$€-1]_-;\-* #,##0.00\ [$€-1]_-;_-* &quot;-&quot;??\ [$€-1]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9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0" fillId="0" borderId="0" xfId="0" applyFill="1"/>
    <xf numFmtId="165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6" fontId="3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166" fontId="0" fillId="0" borderId="0" xfId="0" applyNumberFormat="1" applyFill="1"/>
    <xf numFmtId="166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165" fontId="0" fillId="2" borderId="0" xfId="0" applyNumberFormat="1" applyFill="1"/>
    <xf numFmtId="166" fontId="1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49" fontId="1" fillId="2" borderId="0" xfId="0" applyNumberFormat="1" applyFont="1" applyFill="1"/>
    <xf numFmtId="166" fontId="0" fillId="3" borderId="0" xfId="0" applyNumberFormat="1" applyFill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165" fontId="0" fillId="3" borderId="0" xfId="0" applyNumberFormat="1" applyFill="1"/>
    <xf numFmtId="164" fontId="5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5" fontId="2" fillId="3" borderId="0" xfId="0" applyNumberFormat="1" applyFont="1" applyFill="1"/>
    <xf numFmtId="0" fontId="0" fillId="3" borderId="0" xfId="0" applyFill="1"/>
    <xf numFmtId="164" fontId="1" fillId="0" borderId="0" xfId="0" applyNumberFormat="1" applyFont="1" applyFill="1"/>
    <xf numFmtId="164" fontId="2" fillId="0" borderId="0" xfId="0" applyNumberFormat="1" applyFont="1" applyFill="1"/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3"/>
  <sheetViews>
    <sheetView showZeros="0" tabSelected="1" zoomScaleNormal="100" workbookViewId="0">
      <pane ySplit="3" topLeftCell="A1336" activePane="bottomLeft" state="frozenSplit"/>
      <selection pane="bottomLeft" activeCell="A1365" sqref="A1365"/>
    </sheetView>
  </sheetViews>
  <sheetFormatPr baseColWidth="10" defaultColWidth="11.42578125" defaultRowHeight="12.75" x14ac:dyDescent="0.2"/>
  <cols>
    <col min="1" max="1" width="9" style="13" customWidth="1"/>
    <col min="2" max="2" width="9.42578125" style="1" customWidth="1"/>
    <col min="3" max="3" width="46.140625" style="2" customWidth="1"/>
    <col min="4" max="4" width="3.7109375" style="1" customWidth="1"/>
    <col min="5" max="5" width="12.5703125" style="3" customWidth="1"/>
    <col min="6" max="6" width="12.28515625" style="3" customWidth="1"/>
    <col min="7" max="7" width="12.85546875" style="4" customWidth="1"/>
    <col min="8" max="8" width="11.140625" style="6" hidden="1" customWidth="1"/>
    <col min="9" max="9" width="12.42578125" style="10" bestFit="1" customWidth="1"/>
    <col min="10" max="16384" width="11.42578125" style="7"/>
  </cols>
  <sheetData>
    <row r="1" spans="1:7" ht="15.75" x14ac:dyDescent="0.25">
      <c r="A1" s="11" t="s">
        <v>11</v>
      </c>
    </row>
    <row r="2" spans="1:7" ht="15.75" x14ac:dyDescent="0.25">
      <c r="A2" s="11"/>
    </row>
    <row r="3" spans="1:7" x14ac:dyDescent="0.2">
      <c r="A3" s="12" t="s">
        <v>2</v>
      </c>
      <c r="B3" s="5" t="s">
        <v>1</v>
      </c>
      <c r="C3" s="5" t="s">
        <v>3</v>
      </c>
      <c r="D3" s="5"/>
      <c r="E3" s="8" t="s">
        <v>4</v>
      </c>
      <c r="F3" s="8" t="s">
        <v>6</v>
      </c>
      <c r="G3" s="9" t="s">
        <v>5</v>
      </c>
    </row>
    <row r="4" spans="1:7" x14ac:dyDescent="0.2">
      <c r="A4" s="13">
        <v>44197</v>
      </c>
      <c r="C4" s="2" t="s">
        <v>0</v>
      </c>
      <c r="D4" s="1" t="s">
        <v>9</v>
      </c>
      <c r="G4" s="4">
        <v>-12971756</v>
      </c>
    </row>
    <row r="5" spans="1:7" x14ac:dyDescent="0.2">
      <c r="A5" s="13">
        <v>44200</v>
      </c>
      <c r="C5" s="2" t="s">
        <v>10</v>
      </c>
      <c r="D5" s="1" t="s">
        <v>9</v>
      </c>
      <c r="E5" s="3">
        <v>443768</v>
      </c>
      <c r="G5" s="10">
        <f t="shared" ref="G5:G22" si="0">G4+E5-F5</f>
        <v>-12527988</v>
      </c>
    </row>
    <row r="6" spans="1:7" x14ac:dyDescent="0.2">
      <c r="A6" s="13">
        <v>44200</v>
      </c>
      <c r="B6" s="1" t="s">
        <v>12</v>
      </c>
      <c r="C6" s="2" t="s">
        <v>81</v>
      </c>
      <c r="D6" s="1" t="s">
        <v>9</v>
      </c>
      <c r="F6" s="3">
        <v>879804</v>
      </c>
      <c r="G6" s="10">
        <f t="shared" si="0"/>
        <v>-13407792</v>
      </c>
    </row>
    <row r="7" spans="1:7" x14ac:dyDescent="0.2">
      <c r="A7" s="13">
        <v>44200</v>
      </c>
      <c r="C7" s="2" t="s">
        <v>13</v>
      </c>
      <c r="D7" s="1" t="s">
        <v>9</v>
      </c>
      <c r="F7" s="3">
        <f>1967871+77284</f>
        <v>2045155</v>
      </c>
      <c r="G7" s="10">
        <f t="shared" si="0"/>
        <v>-15452947</v>
      </c>
    </row>
    <row r="8" spans="1:7" x14ac:dyDescent="0.2">
      <c r="A8" s="13">
        <v>44203</v>
      </c>
      <c r="C8" s="2" t="s">
        <v>10</v>
      </c>
      <c r="D8" s="1" t="s">
        <v>9</v>
      </c>
      <c r="E8" s="3">
        <v>1491795</v>
      </c>
      <c r="G8" s="10">
        <f t="shared" si="0"/>
        <v>-13961152</v>
      </c>
    </row>
    <row r="9" spans="1:7" x14ac:dyDescent="0.2">
      <c r="A9" s="13">
        <v>44203</v>
      </c>
      <c r="C9" s="2" t="s">
        <v>7</v>
      </c>
      <c r="D9" s="1" t="s">
        <v>9</v>
      </c>
      <c r="F9" s="3">
        <f>2000+200</f>
        <v>2200</v>
      </c>
      <c r="G9" s="10">
        <f t="shared" si="0"/>
        <v>-13963352</v>
      </c>
    </row>
    <row r="10" spans="1:7" x14ac:dyDescent="0.2">
      <c r="A10" s="13">
        <v>44204</v>
      </c>
      <c r="B10" s="1" t="s">
        <v>14</v>
      </c>
      <c r="C10" s="2" t="s">
        <v>8</v>
      </c>
      <c r="D10" s="1" t="s">
        <v>9</v>
      </c>
      <c r="F10" s="3">
        <v>400000</v>
      </c>
      <c r="G10" s="10">
        <f t="shared" si="0"/>
        <v>-14363352</v>
      </c>
    </row>
    <row r="11" spans="1:7" x14ac:dyDescent="0.2">
      <c r="A11" s="13">
        <v>44208</v>
      </c>
      <c r="C11" s="2" t="s">
        <v>15</v>
      </c>
      <c r="D11" s="1" t="s">
        <v>9</v>
      </c>
      <c r="E11" s="3">
        <v>2862330</v>
      </c>
      <c r="G11" s="10">
        <f t="shared" si="0"/>
        <v>-11501022</v>
      </c>
    </row>
    <row r="12" spans="1:7" x14ac:dyDescent="0.2">
      <c r="A12" s="13">
        <v>44209</v>
      </c>
      <c r="C12" s="2" t="s">
        <v>16</v>
      </c>
      <c r="D12" s="1" t="s">
        <v>9</v>
      </c>
      <c r="E12" s="3">
        <v>342761</v>
      </c>
      <c r="G12" s="10">
        <f t="shared" si="0"/>
        <v>-11158261</v>
      </c>
    </row>
    <row r="13" spans="1:7" x14ac:dyDescent="0.2">
      <c r="A13" s="13">
        <v>44211</v>
      </c>
      <c r="B13" s="1" t="s">
        <v>17</v>
      </c>
      <c r="C13" s="2" t="s">
        <v>22</v>
      </c>
      <c r="D13" s="1" t="s">
        <v>9</v>
      </c>
      <c r="F13" s="3">
        <v>444000</v>
      </c>
      <c r="G13" s="10">
        <f t="shared" si="0"/>
        <v>-11602261</v>
      </c>
    </row>
    <row r="14" spans="1:7" x14ac:dyDescent="0.2">
      <c r="A14" s="13">
        <v>44212</v>
      </c>
      <c r="C14" s="2" t="s">
        <v>18</v>
      </c>
      <c r="D14" s="1" t="s">
        <v>9</v>
      </c>
      <c r="E14" s="3">
        <v>7021</v>
      </c>
      <c r="G14" s="10">
        <f t="shared" si="0"/>
        <v>-11595240</v>
      </c>
    </row>
    <row r="15" spans="1:7" x14ac:dyDescent="0.2">
      <c r="A15" s="13">
        <v>44215</v>
      </c>
      <c r="C15" s="2" t="s">
        <v>19</v>
      </c>
      <c r="D15" s="1" t="s">
        <v>9</v>
      </c>
      <c r="F15" s="3">
        <v>10805</v>
      </c>
      <c r="G15" s="10">
        <f t="shared" si="0"/>
        <v>-11606045</v>
      </c>
    </row>
    <row r="16" spans="1:7" x14ac:dyDescent="0.2">
      <c r="A16" s="13">
        <v>44215</v>
      </c>
      <c r="C16" s="2" t="s">
        <v>19</v>
      </c>
      <c r="D16" s="1" t="s">
        <v>9</v>
      </c>
      <c r="F16" s="3">
        <v>761131</v>
      </c>
      <c r="G16" s="10">
        <f t="shared" si="0"/>
        <v>-12367176</v>
      </c>
    </row>
    <row r="17" spans="1:7" x14ac:dyDescent="0.2">
      <c r="A17" s="13">
        <v>44215</v>
      </c>
      <c r="C17" s="2" t="s">
        <v>20</v>
      </c>
      <c r="D17" s="1" t="s">
        <v>9</v>
      </c>
      <c r="F17" s="3">
        <v>3300</v>
      </c>
      <c r="G17" s="10">
        <f t="shared" si="0"/>
        <v>-12370476</v>
      </c>
    </row>
    <row r="18" spans="1:7" x14ac:dyDescent="0.2">
      <c r="A18" s="13">
        <v>44215</v>
      </c>
      <c r="C18" s="2" t="s">
        <v>20</v>
      </c>
      <c r="D18" s="1" t="s">
        <v>9</v>
      </c>
      <c r="F18" s="3">
        <v>3300</v>
      </c>
      <c r="G18" s="10">
        <f t="shared" si="0"/>
        <v>-12373776</v>
      </c>
    </row>
    <row r="19" spans="1:7" x14ac:dyDescent="0.2">
      <c r="A19" s="13">
        <v>44216</v>
      </c>
      <c r="C19" s="2" t="s">
        <v>21</v>
      </c>
      <c r="D19" s="1" t="s">
        <v>9</v>
      </c>
      <c r="E19" s="3">
        <v>2165785</v>
      </c>
      <c r="G19" s="10">
        <f t="shared" si="0"/>
        <v>-10207991</v>
      </c>
    </row>
    <row r="20" spans="1:7" x14ac:dyDescent="0.2">
      <c r="A20" s="13">
        <v>44216</v>
      </c>
      <c r="C20" s="2" t="s">
        <v>10</v>
      </c>
      <c r="D20" s="1" t="s">
        <v>9</v>
      </c>
      <c r="E20" s="3">
        <v>437041</v>
      </c>
      <c r="G20" s="10">
        <f t="shared" si="0"/>
        <v>-9770950</v>
      </c>
    </row>
    <row r="21" spans="1:7" x14ac:dyDescent="0.2">
      <c r="A21" s="13">
        <v>44216</v>
      </c>
      <c r="B21" s="1" t="s">
        <v>23</v>
      </c>
      <c r="C21" s="2" t="s">
        <v>22</v>
      </c>
      <c r="D21" s="1" t="s">
        <v>9</v>
      </c>
      <c r="F21" s="3">
        <v>1231848</v>
      </c>
      <c r="G21" s="10">
        <f t="shared" si="0"/>
        <v>-11002798</v>
      </c>
    </row>
    <row r="22" spans="1:7" x14ac:dyDescent="0.2">
      <c r="A22" s="13">
        <v>44217</v>
      </c>
      <c r="B22" s="1" t="s">
        <v>24</v>
      </c>
      <c r="C22" s="2" t="s">
        <v>25</v>
      </c>
      <c r="D22" s="1" t="s">
        <v>9</v>
      </c>
      <c r="F22" s="3">
        <v>1100000</v>
      </c>
      <c r="G22" s="10">
        <f t="shared" si="0"/>
        <v>-12102798</v>
      </c>
    </row>
    <row r="23" spans="1:7" x14ac:dyDescent="0.2">
      <c r="A23" s="13">
        <v>44218</v>
      </c>
      <c r="C23" s="2" t="s">
        <v>10</v>
      </c>
      <c r="D23" s="1" t="s">
        <v>9</v>
      </c>
      <c r="E23" s="3">
        <v>175584</v>
      </c>
      <c r="G23" s="10">
        <f t="shared" ref="G23:G88" si="1">G22+E23-F23</f>
        <v>-11927214</v>
      </c>
    </row>
    <row r="24" spans="1:7" x14ac:dyDescent="0.2">
      <c r="A24" s="13">
        <v>44218</v>
      </c>
      <c r="C24" s="2" t="s">
        <v>10</v>
      </c>
      <c r="D24" s="1" t="s">
        <v>9</v>
      </c>
      <c r="E24" s="3">
        <v>1892118</v>
      </c>
      <c r="G24" s="10">
        <f t="shared" si="1"/>
        <v>-10035096</v>
      </c>
    </row>
    <row r="25" spans="1:7" x14ac:dyDescent="0.2">
      <c r="A25" s="13">
        <v>44218</v>
      </c>
      <c r="C25" s="2" t="s">
        <v>26</v>
      </c>
      <c r="D25" s="1" t="s">
        <v>9</v>
      </c>
      <c r="F25" s="3">
        <v>10000</v>
      </c>
      <c r="G25" s="10">
        <f t="shared" si="1"/>
        <v>-10045096</v>
      </c>
    </row>
    <row r="26" spans="1:7" x14ac:dyDescent="0.2">
      <c r="A26" s="13">
        <v>44221</v>
      </c>
      <c r="C26" s="2" t="s">
        <v>27</v>
      </c>
      <c r="D26" s="1" t="s">
        <v>9</v>
      </c>
      <c r="F26" s="3">
        <v>500000</v>
      </c>
      <c r="G26" s="10">
        <f t="shared" si="1"/>
        <v>-10545096</v>
      </c>
    </row>
    <row r="27" spans="1:7" x14ac:dyDescent="0.2">
      <c r="A27" s="13">
        <v>44224</v>
      </c>
      <c r="C27" s="2" t="s">
        <v>15</v>
      </c>
      <c r="D27" s="1" t="s">
        <v>9</v>
      </c>
      <c r="E27" s="3">
        <v>4446286</v>
      </c>
      <c r="G27" s="10">
        <f t="shared" si="1"/>
        <v>-6098810</v>
      </c>
    </row>
    <row r="28" spans="1:7" x14ac:dyDescent="0.2">
      <c r="A28" s="13">
        <v>44224</v>
      </c>
      <c r="B28" s="1" t="s">
        <v>28</v>
      </c>
      <c r="C28" s="2" t="s">
        <v>22</v>
      </c>
      <c r="D28" s="1" t="s">
        <v>9</v>
      </c>
      <c r="F28" s="3">
        <v>3779129</v>
      </c>
      <c r="G28" s="10">
        <f t="shared" si="1"/>
        <v>-9877939</v>
      </c>
    </row>
    <row r="29" spans="1:7" x14ac:dyDescent="0.2">
      <c r="A29" s="13">
        <v>44225</v>
      </c>
      <c r="C29" s="2" t="s">
        <v>29</v>
      </c>
      <c r="D29" s="1" t="s">
        <v>9</v>
      </c>
      <c r="F29" s="3">
        <v>185206</v>
      </c>
      <c r="G29" s="10">
        <f t="shared" si="1"/>
        <v>-10063145</v>
      </c>
    </row>
    <row r="30" spans="1:7" ht="15.75" x14ac:dyDescent="0.25">
      <c r="A30" s="11" t="s">
        <v>30</v>
      </c>
    </row>
    <row r="31" spans="1:7" x14ac:dyDescent="0.2">
      <c r="A31" s="12" t="s">
        <v>2</v>
      </c>
      <c r="B31" s="5" t="s">
        <v>1</v>
      </c>
      <c r="C31" s="5" t="s">
        <v>3</v>
      </c>
      <c r="D31" s="5"/>
      <c r="E31" s="8" t="s">
        <v>4</v>
      </c>
      <c r="F31" s="8" t="s">
        <v>6</v>
      </c>
      <c r="G31" s="9" t="s">
        <v>5</v>
      </c>
    </row>
    <row r="32" spans="1:7" x14ac:dyDescent="0.2">
      <c r="A32" s="13">
        <v>44228</v>
      </c>
      <c r="C32" s="2" t="s">
        <v>10</v>
      </c>
      <c r="D32" s="1" t="s">
        <v>9</v>
      </c>
      <c r="E32" s="3">
        <v>765071</v>
      </c>
      <c r="G32" s="10">
        <f>G29+E32-F32</f>
        <v>-9298074</v>
      </c>
    </row>
    <row r="33" spans="1:7" x14ac:dyDescent="0.2">
      <c r="A33" s="13">
        <v>44229</v>
      </c>
      <c r="C33" s="2" t="s">
        <v>10</v>
      </c>
      <c r="D33" s="1" t="s">
        <v>9</v>
      </c>
      <c r="E33" s="3">
        <v>917594</v>
      </c>
      <c r="G33" s="10">
        <f t="shared" si="1"/>
        <v>-8380480</v>
      </c>
    </row>
    <row r="34" spans="1:7" x14ac:dyDescent="0.2">
      <c r="A34" s="13">
        <v>44230</v>
      </c>
      <c r="B34" s="1" t="s">
        <v>31</v>
      </c>
      <c r="C34" s="2" t="s">
        <v>32</v>
      </c>
      <c r="D34" s="1" t="s">
        <v>9</v>
      </c>
      <c r="F34" s="3">
        <v>222000</v>
      </c>
      <c r="G34" s="10">
        <f t="shared" si="1"/>
        <v>-8602480</v>
      </c>
    </row>
    <row r="35" spans="1:7" x14ac:dyDescent="0.2">
      <c r="A35" s="13">
        <v>44232</v>
      </c>
      <c r="C35" s="2" t="s">
        <v>33</v>
      </c>
      <c r="D35" s="1" t="s">
        <v>9</v>
      </c>
      <c r="F35" s="3">
        <f>2243008</f>
        <v>2243008</v>
      </c>
      <c r="G35" s="10">
        <f t="shared" si="1"/>
        <v>-10845488</v>
      </c>
    </row>
    <row r="36" spans="1:7" x14ac:dyDescent="0.2">
      <c r="A36" s="13">
        <v>44232</v>
      </c>
      <c r="C36" s="2" t="s">
        <v>34</v>
      </c>
      <c r="D36" s="1" t="s">
        <v>9</v>
      </c>
      <c r="F36" s="3">
        <v>5500</v>
      </c>
      <c r="G36" s="10">
        <f t="shared" si="1"/>
        <v>-10850988</v>
      </c>
    </row>
    <row r="37" spans="1:7" x14ac:dyDescent="0.2">
      <c r="A37" s="13">
        <v>44235</v>
      </c>
      <c r="C37" s="2" t="s">
        <v>39</v>
      </c>
      <c r="D37" s="1" t="s">
        <v>9</v>
      </c>
      <c r="E37" s="3">
        <v>521449</v>
      </c>
      <c r="G37" s="10">
        <f t="shared" si="1"/>
        <v>-10329539</v>
      </c>
    </row>
    <row r="38" spans="1:7" x14ac:dyDescent="0.2">
      <c r="A38" s="13">
        <v>44235</v>
      </c>
      <c r="C38" s="2" t="s">
        <v>38</v>
      </c>
      <c r="D38" s="1" t="s">
        <v>9</v>
      </c>
      <c r="F38" s="3">
        <f>2000+200</f>
        <v>2200</v>
      </c>
      <c r="G38" s="10">
        <f t="shared" si="1"/>
        <v>-10331739</v>
      </c>
    </row>
    <row r="39" spans="1:7" x14ac:dyDescent="0.2">
      <c r="A39" s="13">
        <v>44237</v>
      </c>
      <c r="B39" s="1" t="s">
        <v>36</v>
      </c>
      <c r="C39" s="2" t="s">
        <v>8</v>
      </c>
      <c r="D39" s="1" t="s">
        <v>9</v>
      </c>
      <c r="F39" s="3">
        <v>340000</v>
      </c>
      <c r="G39" s="10">
        <f t="shared" si="1"/>
        <v>-10671739</v>
      </c>
    </row>
    <row r="40" spans="1:7" x14ac:dyDescent="0.2">
      <c r="A40" s="13">
        <v>44238</v>
      </c>
      <c r="C40" s="2" t="s">
        <v>37</v>
      </c>
      <c r="D40" s="1" t="s">
        <v>9</v>
      </c>
      <c r="F40" s="3">
        <f>2156826+81017</f>
        <v>2237843</v>
      </c>
      <c r="G40" s="10">
        <f t="shared" si="1"/>
        <v>-12909582</v>
      </c>
    </row>
    <row r="41" spans="1:7" x14ac:dyDescent="0.2">
      <c r="A41" s="13">
        <v>44238</v>
      </c>
      <c r="C41" s="2" t="s">
        <v>35</v>
      </c>
      <c r="D41" s="1" t="s">
        <v>9</v>
      </c>
      <c r="F41" s="3">
        <v>6600</v>
      </c>
      <c r="G41" s="10">
        <f t="shared" si="1"/>
        <v>-12916182</v>
      </c>
    </row>
    <row r="42" spans="1:7" x14ac:dyDescent="0.2">
      <c r="A42" s="13">
        <v>44242</v>
      </c>
      <c r="C42" s="2" t="s">
        <v>40</v>
      </c>
      <c r="D42" s="1" t="s">
        <v>9</v>
      </c>
      <c r="F42" s="3">
        <f>1550000+275</f>
        <v>1550275</v>
      </c>
      <c r="G42" s="10">
        <f t="shared" si="1"/>
        <v>-14466457</v>
      </c>
    </row>
    <row r="43" spans="1:7" x14ac:dyDescent="0.2">
      <c r="A43" s="13">
        <v>44242</v>
      </c>
      <c r="C43" s="2" t="s">
        <v>41</v>
      </c>
      <c r="D43" s="1" t="s">
        <v>9</v>
      </c>
      <c r="F43" s="3">
        <f>976303+275</f>
        <v>976578</v>
      </c>
      <c r="G43" s="10">
        <f t="shared" si="1"/>
        <v>-15443035</v>
      </c>
    </row>
    <row r="44" spans="1:7" x14ac:dyDescent="0.2">
      <c r="A44" s="13">
        <v>44242</v>
      </c>
      <c r="C44" s="2" t="s">
        <v>42</v>
      </c>
      <c r="D44" s="1" t="s">
        <v>9</v>
      </c>
      <c r="F44" s="3">
        <f>1938214+275</f>
        <v>1938489</v>
      </c>
      <c r="G44" s="10">
        <f t="shared" si="1"/>
        <v>-17381524</v>
      </c>
    </row>
    <row r="45" spans="1:7" x14ac:dyDescent="0.2">
      <c r="A45" s="13">
        <v>44242</v>
      </c>
      <c r="C45" s="2" t="s">
        <v>44</v>
      </c>
      <c r="D45" s="1" t="s">
        <v>9</v>
      </c>
      <c r="E45" s="3">
        <v>699428</v>
      </c>
      <c r="G45" s="10">
        <f t="shared" si="1"/>
        <v>-16682096</v>
      </c>
    </row>
    <row r="46" spans="1:7" x14ac:dyDescent="0.2">
      <c r="A46" s="13">
        <v>44242</v>
      </c>
      <c r="C46" s="2" t="s">
        <v>43</v>
      </c>
      <c r="D46" s="1" t="s">
        <v>9</v>
      </c>
      <c r="E46" s="3">
        <v>257226</v>
      </c>
      <c r="G46" s="10">
        <f t="shared" si="1"/>
        <v>-16424870</v>
      </c>
    </row>
    <row r="47" spans="1:7" x14ac:dyDescent="0.2">
      <c r="A47" s="13">
        <v>44242</v>
      </c>
      <c r="C47" s="2" t="s">
        <v>64</v>
      </c>
      <c r="D47" s="1" t="s">
        <v>9</v>
      </c>
      <c r="F47" s="3">
        <f>10940+3300</f>
        <v>14240</v>
      </c>
      <c r="G47" s="10">
        <f t="shared" si="1"/>
        <v>-16439110</v>
      </c>
    </row>
    <row r="48" spans="1:7" x14ac:dyDescent="0.2">
      <c r="A48" s="13">
        <v>44242</v>
      </c>
      <c r="C48" s="2" t="s">
        <v>64</v>
      </c>
      <c r="D48" s="1" t="s">
        <v>9</v>
      </c>
      <c r="F48" s="3">
        <f>368550+3300</f>
        <v>371850</v>
      </c>
      <c r="G48" s="10">
        <f t="shared" si="1"/>
        <v>-16810960</v>
      </c>
    </row>
    <row r="49" spans="1:7" x14ac:dyDescent="0.2">
      <c r="A49" s="13">
        <v>44245</v>
      </c>
      <c r="C49" s="2" t="s">
        <v>45</v>
      </c>
      <c r="D49" s="1" t="s">
        <v>9</v>
      </c>
      <c r="E49" s="3">
        <v>539968</v>
      </c>
      <c r="G49" s="10">
        <f t="shared" si="1"/>
        <v>-16270992</v>
      </c>
    </row>
    <row r="50" spans="1:7" x14ac:dyDescent="0.2">
      <c r="A50" s="13">
        <v>44246</v>
      </c>
      <c r="C50" s="2" t="s">
        <v>46</v>
      </c>
      <c r="D50" s="1" t="s">
        <v>9</v>
      </c>
      <c r="E50" s="3">
        <v>1638123</v>
      </c>
      <c r="G50" s="10">
        <f t="shared" si="1"/>
        <v>-14632869</v>
      </c>
    </row>
    <row r="51" spans="1:7" x14ac:dyDescent="0.2">
      <c r="A51" s="13">
        <v>44250</v>
      </c>
      <c r="C51" s="2" t="s">
        <v>35</v>
      </c>
      <c r="D51" s="1" t="s">
        <v>9</v>
      </c>
      <c r="F51" s="3">
        <v>6600</v>
      </c>
      <c r="G51" s="10">
        <f t="shared" si="1"/>
        <v>-14639469</v>
      </c>
    </row>
    <row r="52" spans="1:7" x14ac:dyDescent="0.2">
      <c r="A52" s="13">
        <v>44252</v>
      </c>
      <c r="C52" s="2" t="s">
        <v>27</v>
      </c>
      <c r="D52" s="1" t="s">
        <v>9</v>
      </c>
      <c r="F52" s="3">
        <v>500000</v>
      </c>
      <c r="G52" s="10">
        <f t="shared" si="1"/>
        <v>-15139469</v>
      </c>
    </row>
    <row r="53" spans="1:7" x14ac:dyDescent="0.2">
      <c r="A53" s="13">
        <v>44253</v>
      </c>
      <c r="C53" s="2" t="s">
        <v>35</v>
      </c>
      <c r="D53" s="1" t="s">
        <v>9</v>
      </c>
      <c r="F53" s="3">
        <v>6600</v>
      </c>
      <c r="G53" s="10">
        <f t="shared" si="1"/>
        <v>-15146069</v>
      </c>
    </row>
    <row r="54" spans="1:7" x14ac:dyDescent="0.2">
      <c r="A54" s="13">
        <v>44253</v>
      </c>
      <c r="C54" s="2" t="s">
        <v>48</v>
      </c>
      <c r="D54" s="1" t="s">
        <v>9</v>
      </c>
      <c r="F54" s="3">
        <v>169727</v>
      </c>
      <c r="G54" s="10">
        <f t="shared" si="1"/>
        <v>-15315796</v>
      </c>
    </row>
    <row r="55" spans="1:7" x14ac:dyDescent="0.2">
      <c r="A55" s="13">
        <v>44253</v>
      </c>
      <c r="C55" s="2" t="s">
        <v>35</v>
      </c>
      <c r="D55" s="1" t="s">
        <v>9</v>
      </c>
      <c r="F55" s="3">
        <v>6600</v>
      </c>
      <c r="G55" s="10">
        <f t="shared" si="1"/>
        <v>-15322396</v>
      </c>
    </row>
    <row r="56" spans="1:7" ht="15.75" x14ac:dyDescent="0.25">
      <c r="A56" s="11" t="s">
        <v>50</v>
      </c>
    </row>
    <row r="57" spans="1:7" x14ac:dyDescent="0.2">
      <c r="A57" s="12" t="s">
        <v>2</v>
      </c>
      <c r="B57" s="5" t="s">
        <v>1</v>
      </c>
      <c r="C57" s="5" t="s">
        <v>3</v>
      </c>
      <c r="D57" s="5"/>
      <c r="E57" s="8" t="s">
        <v>4</v>
      </c>
      <c r="F57" s="8" t="s">
        <v>6</v>
      </c>
      <c r="G57" s="9" t="s">
        <v>5</v>
      </c>
    </row>
    <row r="58" spans="1:7" x14ac:dyDescent="0.2">
      <c r="A58" s="13">
        <v>44257</v>
      </c>
      <c r="C58" s="2" t="s">
        <v>57</v>
      </c>
      <c r="D58" s="1" t="s">
        <v>9</v>
      </c>
      <c r="E58" s="3">
        <v>412111</v>
      </c>
      <c r="G58" s="10">
        <f>G55+E58-F58</f>
        <v>-14910285</v>
      </c>
    </row>
    <row r="59" spans="1:7" x14ac:dyDescent="0.2">
      <c r="A59" s="13">
        <v>44257</v>
      </c>
      <c r="C59" s="2" t="s">
        <v>58</v>
      </c>
      <c r="D59" s="1" t="s">
        <v>9</v>
      </c>
      <c r="E59" s="3">
        <v>181930</v>
      </c>
      <c r="G59" s="10">
        <f t="shared" si="1"/>
        <v>-14728355</v>
      </c>
    </row>
    <row r="60" spans="1:7" x14ac:dyDescent="0.2">
      <c r="A60" s="13">
        <v>44257</v>
      </c>
      <c r="C60" s="2" t="s">
        <v>55</v>
      </c>
      <c r="D60" s="1" t="s">
        <v>9</v>
      </c>
      <c r="E60" s="3">
        <v>406121</v>
      </c>
      <c r="G60" s="10">
        <f t="shared" si="1"/>
        <v>-14322234</v>
      </c>
    </row>
    <row r="61" spans="1:7" x14ac:dyDescent="0.2">
      <c r="A61" s="13">
        <v>44257</v>
      </c>
      <c r="C61" s="2" t="s">
        <v>59</v>
      </c>
      <c r="D61" s="1" t="s">
        <v>9</v>
      </c>
      <c r="E61" s="3">
        <v>113486</v>
      </c>
      <c r="G61" s="10">
        <f t="shared" si="1"/>
        <v>-14208748</v>
      </c>
    </row>
    <row r="62" spans="1:7" x14ac:dyDescent="0.2">
      <c r="A62" s="13">
        <v>44257</v>
      </c>
      <c r="C62" s="2" t="s">
        <v>35</v>
      </c>
      <c r="D62" s="1" t="s">
        <v>9</v>
      </c>
      <c r="F62" s="3">
        <v>6600</v>
      </c>
      <c r="G62" s="10">
        <f t="shared" si="1"/>
        <v>-14215348</v>
      </c>
    </row>
    <row r="63" spans="1:7" x14ac:dyDescent="0.2">
      <c r="A63" s="13">
        <v>44258</v>
      </c>
      <c r="C63" s="2" t="s">
        <v>49</v>
      </c>
      <c r="D63" s="1" t="s">
        <v>9</v>
      </c>
      <c r="F63" s="3">
        <f>500000</f>
        <v>500000</v>
      </c>
      <c r="G63" s="10">
        <f t="shared" si="1"/>
        <v>-14715348</v>
      </c>
    </row>
    <row r="64" spans="1:7" x14ac:dyDescent="0.2">
      <c r="A64" s="13">
        <v>44258</v>
      </c>
      <c r="C64" s="2" t="s">
        <v>15</v>
      </c>
      <c r="D64" s="1" t="s">
        <v>9</v>
      </c>
      <c r="E64" s="3">
        <v>527789</v>
      </c>
      <c r="G64" s="10">
        <f t="shared" si="1"/>
        <v>-14187559</v>
      </c>
    </row>
    <row r="65" spans="1:7" x14ac:dyDescent="0.2">
      <c r="A65" s="13">
        <v>44258</v>
      </c>
      <c r="C65" s="2" t="s">
        <v>52</v>
      </c>
      <c r="D65" s="1" t="s">
        <v>9</v>
      </c>
      <c r="E65" s="3">
        <v>600000</v>
      </c>
      <c r="G65" s="10">
        <f t="shared" si="1"/>
        <v>-13587559</v>
      </c>
    </row>
    <row r="66" spans="1:7" x14ac:dyDescent="0.2">
      <c r="A66" s="13">
        <v>44258</v>
      </c>
      <c r="C66" s="2" t="s">
        <v>54</v>
      </c>
      <c r="D66" s="1" t="s">
        <v>9</v>
      </c>
      <c r="E66" s="3">
        <v>2000000</v>
      </c>
      <c r="G66" s="10">
        <f t="shared" si="1"/>
        <v>-11587559</v>
      </c>
    </row>
    <row r="67" spans="1:7" x14ac:dyDescent="0.2">
      <c r="A67" s="13">
        <v>44258</v>
      </c>
      <c r="C67" s="2" t="s">
        <v>53</v>
      </c>
      <c r="D67" s="1" t="s">
        <v>9</v>
      </c>
      <c r="F67" s="3">
        <v>100</v>
      </c>
      <c r="G67" s="10">
        <f t="shared" si="1"/>
        <v>-11587659</v>
      </c>
    </row>
    <row r="68" spans="1:7" x14ac:dyDescent="0.2">
      <c r="A68" s="13">
        <v>44258</v>
      </c>
      <c r="C68" s="2" t="s">
        <v>53</v>
      </c>
      <c r="D68" s="1" t="s">
        <v>9</v>
      </c>
      <c r="F68" s="3">
        <v>100</v>
      </c>
      <c r="G68" s="10">
        <f t="shared" si="1"/>
        <v>-11587759</v>
      </c>
    </row>
    <row r="69" spans="1:7" x14ac:dyDescent="0.2">
      <c r="A69" s="13">
        <v>44259</v>
      </c>
      <c r="B69" s="1" t="s">
        <v>47</v>
      </c>
      <c r="C69" s="2" t="s">
        <v>32</v>
      </c>
      <c r="D69" s="1" t="s">
        <v>9</v>
      </c>
      <c r="F69" s="3">
        <v>232000</v>
      </c>
      <c r="G69" s="10">
        <f t="shared" si="1"/>
        <v>-11819759</v>
      </c>
    </row>
    <row r="70" spans="1:7" x14ac:dyDescent="0.2">
      <c r="A70" s="13">
        <v>44259</v>
      </c>
      <c r="C70" s="2" t="s">
        <v>56</v>
      </c>
      <c r="D70" s="1" t="s">
        <v>9</v>
      </c>
      <c r="E70" s="3">
        <v>25888</v>
      </c>
      <c r="G70" s="10">
        <f t="shared" si="1"/>
        <v>-11793871</v>
      </c>
    </row>
    <row r="71" spans="1:7" x14ac:dyDescent="0.2">
      <c r="A71" s="13">
        <v>44259</v>
      </c>
      <c r="C71" s="2" t="s">
        <v>60</v>
      </c>
      <c r="D71" s="1" t="s">
        <v>9</v>
      </c>
      <c r="E71" s="3">
        <f>84075+587479+23648+2326845</f>
        <v>3022047</v>
      </c>
      <c r="G71" s="10">
        <f t="shared" si="1"/>
        <v>-8771824</v>
      </c>
    </row>
    <row r="72" spans="1:7" x14ac:dyDescent="0.2">
      <c r="A72" s="13">
        <v>44260</v>
      </c>
      <c r="C72" s="2" t="s">
        <v>51</v>
      </c>
      <c r="D72" s="1" t="s">
        <v>9</v>
      </c>
      <c r="F72" s="3">
        <v>2205772</v>
      </c>
      <c r="G72" s="10">
        <f t="shared" si="1"/>
        <v>-10977596</v>
      </c>
    </row>
    <row r="73" spans="1:7" x14ac:dyDescent="0.2">
      <c r="A73" s="13">
        <v>44260</v>
      </c>
      <c r="C73" s="2" t="s">
        <v>34</v>
      </c>
      <c r="D73" s="1" t="s">
        <v>9</v>
      </c>
      <c r="F73" s="3">
        <v>1375</v>
      </c>
      <c r="G73" s="10">
        <f t="shared" si="1"/>
        <v>-10978971</v>
      </c>
    </row>
    <row r="74" spans="1:7" x14ac:dyDescent="0.2">
      <c r="A74" s="13">
        <v>44263</v>
      </c>
      <c r="C74" s="2" t="s">
        <v>72</v>
      </c>
      <c r="D74" s="1" t="s">
        <v>9</v>
      </c>
      <c r="E74" s="3">
        <f>62575+75426+1711085</f>
        <v>1849086</v>
      </c>
      <c r="G74" s="10">
        <f t="shared" si="1"/>
        <v>-9129885</v>
      </c>
    </row>
    <row r="75" spans="1:7" x14ac:dyDescent="0.2">
      <c r="A75" s="13">
        <v>44263</v>
      </c>
      <c r="C75" s="2" t="s">
        <v>18</v>
      </c>
      <c r="D75" s="1" t="s">
        <v>9</v>
      </c>
      <c r="E75" s="3">
        <v>76228</v>
      </c>
      <c r="G75" s="10">
        <f t="shared" si="1"/>
        <v>-9053657</v>
      </c>
    </row>
    <row r="76" spans="1:7" x14ac:dyDescent="0.2">
      <c r="A76" s="13">
        <v>44264</v>
      </c>
      <c r="C76" s="2" t="s">
        <v>61</v>
      </c>
      <c r="D76" s="1" t="s">
        <v>9</v>
      </c>
      <c r="E76" s="3">
        <v>38626</v>
      </c>
      <c r="G76" s="10">
        <f t="shared" si="1"/>
        <v>-9015031</v>
      </c>
    </row>
    <row r="77" spans="1:7" x14ac:dyDescent="0.2">
      <c r="A77" s="13">
        <v>44264</v>
      </c>
      <c r="C77" s="2" t="s">
        <v>38</v>
      </c>
      <c r="D77" s="1" t="s">
        <v>9</v>
      </c>
      <c r="F77" s="3">
        <f>2000+200</f>
        <v>2200</v>
      </c>
      <c r="G77" s="10">
        <f t="shared" si="1"/>
        <v>-9017231</v>
      </c>
    </row>
    <row r="78" spans="1:7" x14ac:dyDescent="0.2">
      <c r="A78" s="13">
        <v>44267</v>
      </c>
      <c r="C78" s="2" t="s">
        <v>62</v>
      </c>
      <c r="D78" s="1" t="s">
        <v>9</v>
      </c>
      <c r="E78" s="3">
        <f>14254+245590+80004+532934+20305+755200+95686</f>
        <v>1743973</v>
      </c>
      <c r="G78" s="10">
        <f t="shared" si="1"/>
        <v>-7273258</v>
      </c>
    </row>
    <row r="79" spans="1:7" x14ac:dyDescent="0.2">
      <c r="A79" s="13">
        <v>44270</v>
      </c>
      <c r="C79" s="2" t="s">
        <v>70</v>
      </c>
      <c r="D79" s="1" t="s">
        <v>9</v>
      </c>
      <c r="E79" s="3">
        <v>41845</v>
      </c>
      <c r="G79" s="10">
        <f t="shared" si="1"/>
        <v>-7231413</v>
      </c>
    </row>
    <row r="80" spans="1:7" x14ac:dyDescent="0.2">
      <c r="A80" s="13">
        <v>44270</v>
      </c>
      <c r="C80" s="2" t="s">
        <v>71</v>
      </c>
      <c r="D80" s="1" t="s">
        <v>9</v>
      </c>
      <c r="E80" s="3">
        <v>92925</v>
      </c>
      <c r="G80" s="10">
        <f t="shared" si="1"/>
        <v>-7138488</v>
      </c>
    </row>
    <row r="81" spans="1:7" x14ac:dyDescent="0.2">
      <c r="A81" s="13">
        <v>44271</v>
      </c>
      <c r="C81" s="2" t="s">
        <v>15</v>
      </c>
      <c r="D81" s="1" t="s">
        <v>9</v>
      </c>
      <c r="E81" s="3">
        <v>805810</v>
      </c>
      <c r="G81" s="10">
        <f t="shared" si="1"/>
        <v>-6332678</v>
      </c>
    </row>
    <row r="82" spans="1:7" x14ac:dyDescent="0.2">
      <c r="A82" s="13">
        <v>44271</v>
      </c>
      <c r="C82" s="2" t="s">
        <v>73</v>
      </c>
      <c r="D82" s="1" t="s">
        <v>9</v>
      </c>
      <c r="E82" s="3">
        <v>944000</v>
      </c>
      <c r="G82" s="10">
        <f t="shared" si="1"/>
        <v>-5388678</v>
      </c>
    </row>
    <row r="83" spans="1:7" x14ac:dyDescent="0.2">
      <c r="A83" s="13">
        <v>44271</v>
      </c>
      <c r="C83" s="2" t="s">
        <v>74</v>
      </c>
      <c r="D83" s="1" t="s">
        <v>9</v>
      </c>
      <c r="E83" s="3">
        <v>500000</v>
      </c>
      <c r="G83" s="10">
        <f t="shared" si="1"/>
        <v>-4888678</v>
      </c>
    </row>
    <row r="84" spans="1:7" x14ac:dyDescent="0.2">
      <c r="A84" s="13">
        <v>44271</v>
      </c>
      <c r="C84" s="2" t="s">
        <v>75</v>
      </c>
      <c r="D84" s="1" t="s">
        <v>9</v>
      </c>
      <c r="E84" s="3">
        <f>25993+1395893+120360+51404</f>
        <v>1593650</v>
      </c>
      <c r="G84" s="10">
        <f t="shared" si="1"/>
        <v>-3295028</v>
      </c>
    </row>
    <row r="85" spans="1:7" x14ac:dyDescent="0.2">
      <c r="A85" s="13">
        <v>44271</v>
      </c>
      <c r="C85" s="2" t="s">
        <v>63</v>
      </c>
      <c r="D85" s="1" t="s">
        <v>9</v>
      </c>
      <c r="F85" s="3">
        <f>8663+3300</f>
        <v>11963</v>
      </c>
      <c r="G85" s="10">
        <f t="shared" si="1"/>
        <v>-3306991</v>
      </c>
    </row>
    <row r="86" spans="1:7" x14ac:dyDescent="0.2">
      <c r="A86" s="13">
        <v>44271</v>
      </c>
      <c r="C86" s="2" t="s">
        <v>63</v>
      </c>
      <c r="D86" s="1" t="s">
        <v>9</v>
      </c>
      <c r="F86" s="3">
        <f>2766743+3300</f>
        <v>2770043</v>
      </c>
      <c r="G86" s="10">
        <f t="shared" si="1"/>
        <v>-6077034</v>
      </c>
    </row>
    <row r="87" spans="1:7" x14ac:dyDescent="0.2">
      <c r="A87" s="13">
        <v>44272</v>
      </c>
      <c r="C87" s="2" t="s">
        <v>65</v>
      </c>
      <c r="D87" s="1" t="s">
        <v>9</v>
      </c>
      <c r="F87" s="3">
        <f>1470945</f>
        <v>1470945</v>
      </c>
      <c r="G87" s="10">
        <f t="shared" si="1"/>
        <v>-7547979</v>
      </c>
    </row>
    <row r="88" spans="1:7" x14ac:dyDescent="0.2">
      <c r="A88" s="13">
        <v>44274</v>
      </c>
      <c r="C88" s="2" t="s">
        <v>66</v>
      </c>
      <c r="D88" s="1" t="s">
        <v>9</v>
      </c>
      <c r="F88" s="3">
        <f>2244305+275</f>
        <v>2244580</v>
      </c>
      <c r="G88" s="10">
        <f t="shared" si="1"/>
        <v>-9792559</v>
      </c>
    </row>
    <row r="89" spans="1:7" x14ac:dyDescent="0.2">
      <c r="A89" s="13">
        <v>44274</v>
      </c>
      <c r="C89" s="2" t="s">
        <v>67</v>
      </c>
      <c r="D89" s="1" t="s">
        <v>9</v>
      </c>
      <c r="F89" s="3">
        <f>661024+275</f>
        <v>661299</v>
      </c>
      <c r="G89" s="10">
        <f t="shared" ref="G89:G158" si="2">G88+E89-F89</f>
        <v>-10453858</v>
      </c>
    </row>
    <row r="90" spans="1:7" x14ac:dyDescent="0.2">
      <c r="A90" s="13">
        <v>44274</v>
      </c>
      <c r="C90" s="2" t="s">
        <v>68</v>
      </c>
      <c r="D90" s="1" t="s">
        <v>9</v>
      </c>
      <c r="F90" s="3">
        <f>1710295</f>
        <v>1710295</v>
      </c>
      <c r="G90" s="10">
        <f t="shared" si="2"/>
        <v>-12164153</v>
      </c>
    </row>
    <row r="91" spans="1:7" x14ac:dyDescent="0.2">
      <c r="A91" s="13">
        <v>44274</v>
      </c>
      <c r="C91" s="2" t="s">
        <v>69</v>
      </c>
      <c r="D91" s="1" t="s">
        <v>9</v>
      </c>
      <c r="F91" s="3">
        <f>1800000+275</f>
        <v>1800275</v>
      </c>
      <c r="G91" s="10">
        <f t="shared" si="2"/>
        <v>-13964428</v>
      </c>
    </row>
    <row r="92" spans="1:7" x14ac:dyDescent="0.2">
      <c r="A92" s="13">
        <v>44274</v>
      </c>
      <c r="C92" s="2" t="s">
        <v>52</v>
      </c>
      <c r="D92" s="1" t="s">
        <v>9</v>
      </c>
      <c r="E92" s="3">
        <v>700000</v>
      </c>
      <c r="G92" s="10">
        <f t="shared" si="2"/>
        <v>-13264428</v>
      </c>
    </row>
    <row r="93" spans="1:7" x14ac:dyDescent="0.2">
      <c r="A93" s="13">
        <v>44274</v>
      </c>
      <c r="C93" s="2" t="s">
        <v>53</v>
      </c>
      <c r="D93" s="1" t="s">
        <v>9</v>
      </c>
      <c r="F93" s="3">
        <v>100</v>
      </c>
      <c r="G93" s="10">
        <f t="shared" si="2"/>
        <v>-13264528</v>
      </c>
    </row>
    <row r="94" spans="1:7" x14ac:dyDescent="0.2">
      <c r="A94" s="13">
        <v>44274</v>
      </c>
      <c r="C94" s="2" t="s">
        <v>76</v>
      </c>
      <c r="D94" s="1" t="s">
        <v>9</v>
      </c>
      <c r="E94" s="3">
        <v>17110</v>
      </c>
      <c r="G94" s="10">
        <f t="shared" si="2"/>
        <v>-13247418</v>
      </c>
    </row>
    <row r="95" spans="1:7" x14ac:dyDescent="0.2">
      <c r="A95" s="13">
        <v>44277</v>
      </c>
      <c r="C95" s="2" t="s">
        <v>79</v>
      </c>
      <c r="D95" s="1" t="s">
        <v>9</v>
      </c>
      <c r="E95" s="3">
        <f>300900+47100+538816</f>
        <v>886816</v>
      </c>
      <c r="G95" s="10">
        <f t="shared" si="2"/>
        <v>-12360602</v>
      </c>
    </row>
    <row r="96" spans="1:7" x14ac:dyDescent="0.2">
      <c r="A96" s="13">
        <v>44278</v>
      </c>
      <c r="C96" s="2" t="s">
        <v>78</v>
      </c>
      <c r="D96" s="1" t="s">
        <v>9</v>
      </c>
      <c r="E96" s="3">
        <f>327807+367157</f>
        <v>694964</v>
      </c>
      <c r="G96" s="10">
        <f t="shared" si="2"/>
        <v>-11665638</v>
      </c>
    </row>
    <row r="97" spans="1:7" x14ac:dyDescent="0.2">
      <c r="A97" s="13">
        <v>44279</v>
      </c>
      <c r="C97" s="2" t="s">
        <v>77</v>
      </c>
      <c r="D97" s="1" t="s">
        <v>9</v>
      </c>
      <c r="F97" s="3">
        <f>1744125</f>
        <v>1744125</v>
      </c>
      <c r="G97" s="10">
        <f t="shared" si="2"/>
        <v>-13409763</v>
      </c>
    </row>
    <row r="98" spans="1:7" x14ac:dyDescent="0.2">
      <c r="A98" s="13">
        <v>44280</v>
      </c>
      <c r="B98" s="1" t="s">
        <v>82</v>
      </c>
      <c r="C98" s="2" t="s">
        <v>83</v>
      </c>
      <c r="D98" s="1" t="s">
        <v>9</v>
      </c>
      <c r="F98" s="3">
        <v>283415</v>
      </c>
      <c r="G98" s="10">
        <f t="shared" si="2"/>
        <v>-13693178</v>
      </c>
    </row>
    <row r="99" spans="1:7" x14ac:dyDescent="0.2">
      <c r="A99" s="13">
        <v>44280</v>
      </c>
      <c r="C99" s="2" t="s">
        <v>27</v>
      </c>
      <c r="D99" s="1" t="s">
        <v>9</v>
      </c>
      <c r="F99" s="3">
        <v>500000</v>
      </c>
      <c r="G99" s="10">
        <f t="shared" si="2"/>
        <v>-14193178</v>
      </c>
    </row>
    <row r="100" spans="1:7" x14ac:dyDescent="0.2">
      <c r="A100" s="13">
        <v>44284</v>
      </c>
      <c r="C100" s="2" t="s">
        <v>80</v>
      </c>
      <c r="D100" s="1" t="s">
        <v>9</v>
      </c>
      <c r="E100" s="3">
        <f>223818+447839+904316+78702</f>
        <v>1654675</v>
      </c>
      <c r="G100" s="10">
        <f t="shared" si="2"/>
        <v>-12538503</v>
      </c>
    </row>
    <row r="101" spans="1:7" x14ac:dyDescent="0.2">
      <c r="A101" s="13">
        <v>44284</v>
      </c>
      <c r="B101" s="1" t="s">
        <v>85</v>
      </c>
      <c r="C101" s="2" t="s">
        <v>81</v>
      </c>
      <c r="D101" s="1" t="s">
        <v>9</v>
      </c>
      <c r="F101" s="3">
        <v>500000</v>
      </c>
      <c r="G101" s="10">
        <f t="shared" si="2"/>
        <v>-13038503</v>
      </c>
    </row>
    <row r="102" spans="1:7" x14ac:dyDescent="0.2">
      <c r="A102" s="14">
        <v>44284</v>
      </c>
      <c r="B102" s="15"/>
      <c r="C102" s="16" t="s">
        <v>84</v>
      </c>
      <c r="D102" s="15" t="s">
        <v>9</v>
      </c>
      <c r="E102" s="17"/>
      <c r="F102" s="17">
        <v>487589</v>
      </c>
      <c r="G102" s="10">
        <f t="shared" si="2"/>
        <v>-13526092</v>
      </c>
    </row>
    <row r="103" spans="1:7" x14ac:dyDescent="0.2">
      <c r="A103" s="13">
        <v>44284</v>
      </c>
      <c r="C103" s="2" t="s">
        <v>35</v>
      </c>
      <c r="D103" s="1" t="s">
        <v>9</v>
      </c>
      <c r="F103" s="3">
        <v>6600</v>
      </c>
      <c r="G103" s="10">
        <f t="shared" si="2"/>
        <v>-13532692</v>
      </c>
    </row>
    <row r="104" spans="1:7" x14ac:dyDescent="0.2">
      <c r="A104" s="13">
        <v>44286</v>
      </c>
      <c r="C104" s="2" t="s">
        <v>86</v>
      </c>
      <c r="D104" s="1" t="s">
        <v>9</v>
      </c>
      <c r="F104" s="3">
        <v>162170</v>
      </c>
      <c r="G104" s="10">
        <f t="shared" si="2"/>
        <v>-13694862</v>
      </c>
    </row>
    <row r="105" spans="1:7" x14ac:dyDescent="0.2">
      <c r="A105" s="13">
        <v>44286</v>
      </c>
      <c r="C105" s="2" t="s">
        <v>87</v>
      </c>
      <c r="D105" s="1" t="s">
        <v>9</v>
      </c>
      <c r="E105" s="3">
        <v>181932</v>
      </c>
      <c r="G105" s="10">
        <f t="shared" si="2"/>
        <v>-13512930</v>
      </c>
    </row>
    <row r="106" spans="1:7" ht="15.75" x14ac:dyDescent="0.25">
      <c r="A106" s="11" t="s">
        <v>117</v>
      </c>
    </row>
    <row r="107" spans="1:7" x14ac:dyDescent="0.2">
      <c r="A107" s="12" t="s">
        <v>2</v>
      </c>
      <c r="B107" s="5" t="s">
        <v>1</v>
      </c>
      <c r="C107" s="5" t="s">
        <v>3</v>
      </c>
      <c r="D107" s="5"/>
      <c r="E107" s="8" t="s">
        <v>4</v>
      </c>
      <c r="F107" s="8" t="s">
        <v>6</v>
      </c>
      <c r="G107" s="9" t="s">
        <v>5</v>
      </c>
    </row>
    <row r="108" spans="1:7" x14ac:dyDescent="0.2">
      <c r="A108" s="13">
        <v>44287</v>
      </c>
      <c r="C108" s="2" t="s">
        <v>91</v>
      </c>
      <c r="D108" s="1" t="s">
        <v>9</v>
      </c>
      <c r="E108" s="3">
        <v>600000</v>
      </c>
      <c r="G108" s="10">
        <f>G105+E108-F108</f>
        <v>-12912930</v>
      </c>
    </row>
    <row r="109" spans="1:7" x14ac:dyDescent="0.2">
      <c r="A109" s="13">
        <v>44288</v>
      </c>
      <c r="C109" s="2" t="s">
        <v>88</v>
      </c>
      <c r="D109" s="1" t="s">
        <v>9</v>
      </c>
      <c r="F109" s="3">
        <v>1454320</v>
      </c>
      <c r="G109" s="10">
        <f t="shared" si="2"/>
        <v>-14367250</v>
      </c>
    </row>
    <row r="110" spans="1:7" x14ac:dyDescent="0.2">
      <c r="A110" s="13">
        <v>44288</v>
      </c>
      <c r="C110" s="2" t="s">
        <v>45</v>
      </c>
      <c r="D110" s="1" t="s">
        <v>9</v>
      </c>
      <c r="E110" s="3">
        <v>1077125</v>
      </c>
      <c r="G110" s="10">
        <f t="shared" si="2"/>
        <v>-13290125</v>
      </c>
    </row>
    <row r="111" spans="1:7" x14ac:dyDescent="0.2">
      <c r="A111" s="13">
        <v>44292</v>
      </c>
      <c r="C111" s="2" t="s">
        <v>89</v>
      </c>
      <c r="D111" s="1" t="s">
        <v>9</v>
      </c>
      <c r="F111" s="3">
        <v>1733975</v>
      </c>
      <c r="G111" s="10">
        <f t="shared" si="2"/>
        <v>-15024100</v>
      </c>
    </row>
    <row r="112" spans="1:7" x14ac:dyDescent="0.2">
      <c r="A112" s="13">
        <v>44292</v>
      </c>
      <c r="C112" s="2" t="s">
        <v>34</v>
      </c>
      <c r="D112" s="1" t="s">
        <v>9</v>
      </c>
      <c r="F112" s="3">
        <v>1238</v>
      </c>
      <c r="G112" s="10">
        <f t="shared" si="2"/>
        <v>-15025338</v>
      </c>
    </row>
    <row r="113" spans="1:7" x14ac:dyDescent="0.2">
      <c r="A113" s="13">
        <v>44294</v>
      </c>
      <c r="C113" s="2" t="s">
        <v>90</v>
      </c>
      <c r="D113" s="1" t="s">
        <v>9</v>
      </c>
      <c r="F113" s="3">
        <v>3065912</v>
      </c>
      <c r="G113" s="10">
        <f t="shared" si="2"/>
        <v>-18091250</v>
      </c>
    </row>
    <row r="114" spans="1:7" x14ac:dyDescent="0.2">
      <c r="A114" s="13">
        <v>44294</v>
      </c>
      <c r="C114" s="2" t="s">
        <v>92</v>
      </c>
      <c r="D114" s="1" t="s">
        <v>9</v>
      </c>
      <c r="E114" s="3">
        <v>281707</v>
      </c>
      <c r="G114" s="10">
        <f t="shared" si="2"/>
        <v>-17809543</v>
      </c>
    </row>
    <row r="115" spans="1:7" x14ac:dyDescent="0.2">
      <c r="A115" s="13">
        <v>44294</v>
      </c>
      <c r="C115" s="2" t="s">
        <v>93</v>
      </c>
      <c r="D115" s="1" t="s">
        <v>9</v>
      </c>
      <c r="E115" s="3">
        <f>4915+194700+131216</f>
        <v>330831</v>
      </c>
      <c r="G115" s="10">
        <f t="shared" si="2"/>
        <v>-17478712</v>
      </c>
    </row>
    <row r="116" spans="1:7" x14ac:dyDescent="0.2">
      <c r="A116" s="13">
        <v>44299</v>
      </c>
      <c r="C116" s="2" t="s">
        <v>183</v>
      </c>
      <c r="D116" s="1" t="s">
        <v>9</v>
      </c>
      <c r="E116" s="3">
        <v>10000000</v>
      </c>
      <c r="G116" s="10">
        <f t="shared" si="2"/>
        <v>-7478712</v>
      </c>
    </row>
    <row r="117" spans="1:7" x14ac:dyDescent="0.2">
      <c r="A117" s="13">
        <v>44299</v>
      </c>
      <c r="C117" s="2" t="s">
        <v>53</v>
      </c>
      <c r="D117" s="1" t="s">
        <v>9</v>
      </c>
      <c r="F117" s="3">
        <v>100</v>
      </c>
      <c r="G117" s="10">
        <f t="shared" si="2"/>
        <v>-7478812</v>
      </c>
    </row>
    <row r="118" spans="1:7" x14ac:dyDescent="0.2">
      <c r="A118" s="13">
        <v>44300</v>
      </c>
      <c r="C118" s="2" t="s">
        <v>183</v>
      </c>
      <c r="D118" s="1" t="s">
        <v>9</v>
      </c>
      <c r="E118" s="3">
        <v>3000000</v>
      </c>
      <c r="G118" s="10">
        <f t="shared" si="2"/>
        <v>-4478812</v>
      </c>
    </row>
    <row r="119" spans="1:7" x14ac:dyDescent="0.2">
      <c r="A119" s="13">
        <v>44300</v>
      </c>
      <c r="C119" s="2" t="s">
        <v>121</v>
      </c>
      <c r="D119" s="1" t="s">
        <v>9</v>
      </c>
      <c r="E119" s="3">
        <v>11800</v>
      </c>
      <c r="G119" s="10">
        <f t="shared" si="2"/>
        <v>-4467012</v>
      </c>
    </row>
    <row r="120" spans="1:7" x14ac:dyDescent="0.2">
      <c r="A120" s="13">
        <v>44300</v>
      </c>
      <c r="C120" s="2" t="s">
        <v>122</v>
      </c>
      <c r="D120" s="1" t="s">
        <v>9</v>
      </c>
      <c r="E120" s="3">
        <v>552240</v>
      </c>
      <c r="G120" s="10">
        <f t="shared" si="2"/>
        <v>-3914772</v>
      </c>
    </row>
    <row r="121" spans="1:7" x14ac:dyDescent="0.2">
      <c r="A121" s="13">
        <v>44300</v>
      </c>
      <c r="C121" s="2" t="s">
        <v>53</v>
      </c>
      <c r="D121" s="1" t="s">
        <v>9</v>
      </c>
      <c r="F121" s="3">
        <v>100</v>
      </c>
      <c r="G121" s="10">
        <f t="shared" si="2"/>
        <v>-3914872</v>
      </c>
    </row>
    <row r="122" spans="1:7" x14ac:dyDescent="0.2">
      <c r="A122" s="13">
        <v>44301</v>
      </c>
      <c r="C122" s="2" t="s">
        <v>125</v>
      </c>
      <c r="D122" s="1" t="s">
        <v>9</v>
      </c>
      <c r="E122" s="3">
        <f>139174+789243+19576</f>
        <v>947993</v>
      </c>
      <c r="G122" s="10">
        <f t="shared" si="2"/>
        <v>-2966879</v>
      </c>
    </row>
    <row r="123" spans="1:7" x14ac:dyDescent="0.2">
      <c r="A123" s="13">
        <v>44301</v>
      </c>
      <c r="C123" s="2" t="s">
        <v>126</v>
      </c>
      <c r="D123" s="1" t="s">
        <v>9</v>
      </c>
      <c r="E123" s="3">
        <f>42126+65049</f>
        <v>107175</v>
      </c>
      <c r="G123" s="10">
        <f t="shared" si="2"/>
        <v>-2859704</v>
      </c>
    </row>
    <row r="124" spans="1:7" x14ac:dyDescent="0.2">
      <c r="A124" s="13">
        <v>44301</v>
      </c>
      <c r="C124" s="2" t="s">
        <v>115</v>
      </c>
      <c r="D124" s="1" t="s">
        <v>9</v>
      </c>
      <c r="E124" s="3">
        <v>4407300</v>
      </c>
      <c r="G124" s="10">
        <f t="shared" si="2"/>
        <v>1547596</v>
      </c>
    </row>
    <row r="125" spans="1:7" x14ac:dyDescent="0.2">
      <c r="A125" s="13">
        <v>44301</v>
      </c>
      <c r="C125" s="2" t="s">
        <v>123</v>
      </c>
      <c r="D125" s="1" t="s">
        <v>9</v>
      </c>
      <c r="E125" s="3">
        <v>366237</v>
      </c>
      <c r="G125" s="10">
        <f t="shared" si="2"/>
        <v>1913833</v>
      </c>
    </row>
    <row r="126" spans="1:7" x14ac:dyDescent="0.2">
      <c r="A126" s="13">
        <v>44301</v>
      </c>
      <c r="C126" s="2" t="s">
        <v>127</v>
      </c>
      <c r="D126" s="1" t="s">
        <v>9</v>
      </c>
      <c r="E126" s="3">
        <f>406079+11107+17800</f>
        <v>434986</v>
      </c>
      <c r="G126" s="10">
        <f t="shared" si="2"/>
        <v>2348819</v>
      </c>
    </row>
    <row r="127" spans="1:7" x14ac:dyDescent="0.2">
      <c r="A127" s="13">
        <v>44301</v>
      </c>
      <c r="C127" s="2" t="s">
        <v>124</v>
      </c>
      <c r="D127" s="1" t="s">
        <v>9</v>
      </c>
      <c r="E127" s="3">
        <v>1453996</v>
      </c>
      <c r="G127" s="10">
        <f t="shared" si="2"/>
        <v>3802815</v>
      </c>
    </row>
    <row r="128" spans="1:7" x14ac:dyDescent="0.2">
      <c r="A128" s="13">
        <v>44302</v>
      </c>
      <c r="C128" s="2" t="s">
        <v>76</v>
      </c>
      <c r="D128" s="1" t="s">
        <v>9</v>
      </c>
      <c r="E128" s="3">
        <v>122720</v>
      </c>
      <c r="G128" s="10">
        <f t="shared" si="2"/>
        <v>3925535</v>
      </c>
    </row>
    <row r="129" spans="1:7" x14ac:dyDescent="0.2">
      <c r="A129" s="13">
        <v>44305</v>
      </c>
      <c r="C129" s="2" t="s">
        <v>15</v>
      </c>
      <c r="D129" s="1" t="s">
        <v>9</v>
      </c>
      <c r="E129" s="3">
        <v>239592</v>
      </c>
      <c r="G129" s="10">
        <f t="shared" si="2"/>
        <v>4165127</v>
      </c>
    </row>
    <row r="130" spans="1:7" x14ac:dyDescent="0.2">
      <c r="A130" s="13">
        <v>44305</v>
      </c>
      <c r="B130" s="1" t="s">
        <v>94</v>
      </c>
      <c r="C130" s="2" t="s">
        <v>96</v>
      </c>
      <c r="D130" s="1" t="s">
        <v>9</v>
      </c>
      <c r="F130" s="3">
        <v>207344</v>
      </c>
      <c r="G130" s="10">
        <f t="shared" si="2"/>
        <v>3957783</v>
      </c>
    </row>
    <row r="131" spans="1:7" x14ac:dyDescent="0.2">
      <c r="A131" s="13">
        <v>44305</v>
      </c>
      <c r="C131" s="2" t="s">
        <v>95</v>
      </c>
      <c r="D131" s="1" t="s">
        <v>9</v>
      </c>
      <c r="F131" s="3">
        <f>1169027+3300</f>
        <v>1172327</v>
      </c>
      <c r="G131" s="10">
        <f t="shared" si="2"/>
        <v>2785456</v>
      </c>
    </row>
    <row r="132" spans="1:7" x14ac:dyDescent="0.2">
      <c r="A132" s="13">
        <v>44305</v>
      </c>
      <c r="C132" s="2" t="s">
        <v>97</v>
      </c>
      <c r="D132" s="1" t="s">
        <v>9</v>
      </c>
      <c r="F132" s="3">
        <f>10870+3300</f>
        <v>14170</v>
      </c>
      <c r="G132" s="10">
        <f t="shared" si="2"/>
        <v>2771286</v>
      </c>
    </row>
    <row r="133" spans="1:7" x14ac:dyDescent="0.2">
      <c r="A133" s="13">
        <v>44305</v>
      </c>
      <c r="C133" s="2" t="s">
        <v>98</v>
      </c>
      <c r="D133" s="1" t="s">
        <v>9</v>
      </c>
      <c r="F133" s="3">
        <v>1714733</v>
      </c>
      <c r="G133" s="10">
        <f t="shared" si="2"/>
        <v>1056553</v>
      </c>
    </row>
    <row r="134" spans="1:7" x14ac:dyDescent="0.2">
      <c r="A134" s="13">
        <v>44305</v>
      </c>
      <c r="B134" s="1" t="s">
        <v>113</v>
      </c>
      <c r="C134" s="2" t="s">
        <v>99</v>
      </c>
      <c r="D134" s="1" t="s">
        <v>9</v>
      </c>
      <c r="F134" s="3">
        <v>199170</v>
      </c>
      <c r="G134" s="10">
        <f t="shared" si="2"/>
        <v>857383</v>
      </c>
    </row>
    <row r="135" spans="1:7" x14ac:dyDescent="0.2">
      <c r="A135" s="13">
        <v>44306</v>
      </c>
      <c r="C135" s="2" t="s">
        <v>105</v>
      </c>
      <c r="D135" s="1" t="s">
        <v>9</v>
      </c>
      <c r="E135" s="3">
        <v>1883371</v>
      </c>
      <c r="G135" s="10">
        <f t="shared" si="2"/>
        <v>2740754</v>
      </c>
    </row>
    <row r="136" spans="1:7" x14ac:dyDescent="0.2">
      <c r="A136" s="13">
        <v>44306</v>
      </c>
      <c r="C136" s="2" t="s">
        <v>106</v>
      </c>
      <c r="D136" s="1" t="s">
        <v>9</v>
      </c>
      <c r="E136" s="3">
        <f>102070+130684</f>
        <v>232754</v>
      </c>
      <c r="G136" s="10">
        <f t="shared" si="2"/>
        <v>2973508</v>
      </c>
    </row>
    <row r="137" spans="1:7" x14ac:dyDescent="0.2">
      <c r="A137" s="13">
        <v>44306</v>
      </c>
      <c r="C137" s="2" t="s">
        <v>107</v>
      </c>
      <c r="D137" s="1" t="s">
        <v>9</v>
      </c>
      <c r="E137" s="3">
        <f>55254+104914+17753</f>
        <v>177921</v>
      </c>
      <c r="G137" s="10">
        <f t="shared" si="2"/>
        <v>3151429</v>
      </c>
    </row>
    <row r="138" spans="1:7" x14ac:dyDescent="0.2">
      <c r="A138" s="13">
        <v>44308</v>
      </c>
      <c r="C138" s="2" t="s">
        <v>100</v>
      </c>
      <c r="D138" s="1" t="s">
        <v>9</v>
      </c>
      <c r="F138" s="3">
        <f>1800000+275</f>
        <v>1800275</v>
      </c>
      <c r="G138" s="10">
        <f t="shared" si="2"/>
        <v>1351154</v>
      </c>
    </row>
    <row r="139" spans="1:7" x14ac:dyDescent="0.2">
      <c r="A139" s="13">
        <v>44308</v>
      </c>
      <c r="C139" s="2" t="s">
        <v>101</v>
      </c>
      <c r="D139" s="1" t="s">
        <v>9</v>
      </c>
      <c r="F139" s="3">
        <f>1029417</f>
        <v>1029417</v>
      </c>
      <c r="G139" s="10">
        <f t="shared" si="2"/>
        <v>321737</v>
      </c>
    </row>
    <row r="140" spans="1:7" x14ac:dyDescent="0.2">
      <c r="A140" s="13">
        <v>44308</v>
      </c>
      <c r="C140" s="2" t="s">
        <v>102</v>
      </c>
      <c r="D140" s="1" t="s">
        <v>9</v>
      </c>
      <c r="F140" s="3">
        <f>964356</f>
        <v>964356</v>
      </c>
      <c r="G140" s="10">
        <f t="shared" si="2"/>
        <v>-642619</v>
      </c>
    </row>
    <row r="141" spans="1:7" x14ac:dyDescent="0.2">
      <c r="A141" s="13">
        <v>44308</v>
      </c>
      <c r="C141" s="2" t="s">
        <v>49</v>
      </c>
      <c r="D141" s="1" t="s">
        <v>9</v>
      </c>
      <c r="F141" s="3">
        <f>500000</f>
        <v>500000</v>
      </c>
      <c r="G141" s="10">
        <f t="shared" si="2"/>
        <v>-1142619</v>
      </c>
    </row>
    <row r="142" spans="1:7" x14ac:dyDescent="0.2">
      <c r="A142" s="13">
        <v>44308</v>
      </c>
      <c r="C142" s="2" t="s">
        <v>103</v>
      </c>
      <c r="D142" s="1" t="s">
        <v>9</v>
      </c>
      <c r="F142" s="3">
        <f>1185900+275</f>
        <v>1186175</v>
      </c>
      <c r="G142" s="10">
        <f t="shared" si="2"/>
        <v>-2328794</v>
      </c>
    </row>
    <row r="143" spans="1:7" x14ac:dyDescent="0.2">
      <c r="A143" s="13">
        <v>44308</v>
      </c>
      <c r="C143" s="2" t="s">
        <v>104</v>
      </c>
      <c r="D143" s="1" t="s">
        <v>9</v>
      </c>
      <c r="F143" s="3">
        <f>500000+275</f>
        <v>500275</v>
      </c>
      <c r="G143" s="10">
        <f t="shared" si="2"/>
        <v>-2829069</v>
      </c>
    </row>
    <row r="144" spans="1:7" x14ac:dyDescent="0.2">
      <c r="A144" s="13">
        <v>44309</v>
      </c>
      <c r="C144" s="2" t="s">
        <v>108</v>
      </c>
      <c r="D144" s="1" t="s">
        <v>9</v>
      </c>
      <c r="F144" s="3">
        <f>755250</f>
        <v>755250</v>
      </c>
      <c r="G144" s="10">
        <f t="shared" si="2"/>
        <v>-3584319</v>
      </c>
    </row>
    <row r="145" spans="1:7" x14ac:dyDescent="0.2">
      <c r="A145" s="13">
        <v>44309</v>
      </c>
      <c r="C145" s="2" t="s">
        <v>114</v>
      </c>
      <c r="D145" s="1" t="s">
        <v>9</v>
      </c>
      <c r="F145" s="3">
        <f>1883371+6600</f>
        <v>1889971</v>
      </c>
      <c r="G145" s="10">
        <f t="shared" si="2"/>
        <v>-5474290</v>
      </c>
    </row>
    <row r="146" spans="1:7" x14ac:dyDescent="0.2">
      <c r="A146" s="13">
        <v>44310</v>
      </c>
      <c r="C146" s="2" t="s">
        <v>110</v>
      </c>
      <c r="D146" s="1" t="s">
        <v>9</v>
      </c>
      <c r="E146" s="3">
        <f>929580+311343</f>
        <v>1240923</v>
      </c>
      <c r="G146" s="10">
        <f t="shared" si="2"/>
        <v>-4233367</v>
      </c>
    </row>
    <row r="147" spans="1:7" x14ac:dyDescent="0.2">
      <c r="A147" s="13">
        <v>44312</v>
      </c>
      <c r="C147" s="2" t="s">
        <v>109</v>
      </c>
      <c r="D147" s="1" t="s">
        <v>9</v>
      </c>
      <c r="F147" s="3">
        <f>5974235</f>
        <v>5974235</v>
      </c>
      <c r="G147" s="10">
        <f t="shared" si="2"/>
        <v>-10207602</v>
      </c>
    </row>
    <row r="148" spans="1:7" x14ac:dyDescent="0.2">
      <c r="A148" s="13">
        <v>44312</v>
      </c>
      <c r="C148" s="2" t="s">
        <v>111</v>
      </c>
      <c r="D148" s="1" t="s">
        <v>9</v>
      </c>
      <c r="E148" s="3">
        <f>72216+416835+9027</f>
        <v>498078</v>
      </c>
      <c r="G148" s="10">
        <f t="shared" si="2"/>
        <v>-9709524</v>
      </c>
    </row>
    <row r="149" spans="1:7" x14ac:dyDescent="0.2">
      <c r="A149" s="13">
        <v>44312</v>
      </c>
      <c r="C149" s="2" t="s">
        <v>112</v>
      </c>
      <c r="D149" s="1" t="s">
        <v>9</v>
      </c>
      <c r="E149" s="3">
        <f>30872+153990+14160</f>
        <v>199022</v>
      </c>
      <c r="G149" s="10">
        <f t="shared" si="2"/>
        <v>-9510502</v>
      </c>
    </row>
    <row r="150" spans="1:7" x14ac:dyDescent="0.2">
      <c r="A150" s="13">
        <v>44312</v>
      </c>
      <c r="C150" s="2" t="s">
        <v>27</v>
      </c>
      <c r="D150" s="1" t="s">
        <v>9</v>
      </c>
      <c r="F150" s="3">
        <v>500000</v>
      </c>
      <c r="G150" s="10">
        <f t="shared" si="2"/>
        <v>-10010502</v>
      </c>
    </row>
    <row r="151" spans="1:7" x14ac:dyDescent="0.2">
      <c r="A151" s="13">
        <v>44313</v>
      </c>
      <c r="C151" s="2" t="s">
        <v>115</v>
      </c>
      <c r="D151" s="1" t="s">
        <v>9</v>
      </c>
      <c r="E151" s="3">
        <v>3348776</v>
      </c>
      <c r="G151" s="10">
        <f t="shared" si="2"/>
        <v>-6661726</v>
      </c>
    </row>
    <row r="152" spans="1:7" x14ac:dyDescent="0.2">
      <c r="A152" s="13">
        <v>44313</v>
      </c>
      <c r="C152" s="2" t="s">
        <v>35</v>
      </c>
      <c r="D152" s="1" t="s">
        <v>9</v>
      </c>
      <c r="F152" s="3">
        <v>6600</v>
      </c>
      <c r="G152" s="10">
        <f t="shared" si="2"/>
        <v>-6668326</v>
      </c>
    </row>
    <row r="153" spans="1:7" x14ac:dyDescent="0.2">
      <c r="A153" s="13">
        <v>44314</v>
      </c>
      <c r="C153" s="2" t="s">
        <v>35</v>
      </c>
      <c r="D153" s="1" t="s">
        <v>9</v>
      </c>
      <c r="F153" s="3">
        <v>6600</v>
      </c>
      <c r="G153" s="10">
        <f t="shared" si="2"/>
        <v>-6674926</v>
      </c>
    </row>
    <row r="154" spans="1:7" x14ac:dyDescent="0.2">
      <c r="A154" s="13">
        <v>44314</v>
      </c>
      <c r="C154" s="2" t="s">
        <v>116</v>
      </c>
      <c r="D154" s="1" t="s">
        <v>9</v>
      </c>
      <c r="E154" s="3">
        <v>649831</v>
      </c>
      <c r="G154" s="10">
        <f t="shared" si="2"/>
        <v>-6025095</v>
      </c>
    </row>
    <row r="155" spans="1:7" x14ac:dyDescent="0.2">
      <c r="A155" s="13">
        <v>44314</v>
      </c>
      <c r="C155" s="2" t="s">
        <v>45</v>
      </c>
      <c r="D155" s="1" t="s">
        <v>9</v>
      </c>
      <c r="E155" s="3">
        <v>7080</v>
      </c>
      <c r="G155" s="10">
        <f t="shared" si="2"/>
        <v>-6018015</v>
      </c>
    </row>
    <row r="156" spans="1:7" x14ac:dyDescent="0.2">
      <c r="A156" s="13">
        <v>44316</v>
      </c>
      <c r="C156" s="2" t="s">
        <v>118</v>
      </c>
      <c r="D156" s="1" t="s">
        <v>9</v>
      </c>
      <c r="F156" s="3">
        <v>2096433</v>
      </c>
      <c r="G156" s="10">
        <f t="shared" si="2"/>
        <v>-8114448</v>
      </c>
    </row>
    <row r="157" spans="1:7" x14ac:dyDescent="0.2">
      <c r="A157" s="13">
        <v>44316</v>
      </c>
      <c r="C157" s="2" t="s">
        <v>34</v>
      </c>
      <c r="D157" s="1" t="s">
        <v>9</v>
      </c>
      <c r="F157" s="3">
        <v>1125</v>
      </c>
      <c r="G157" s="10">
        <f t="shared" si="2"/>
        <v>-8115573</v>
      </c>
    </row>
    <row r="158" spans="1:7" x14ac:dyDescent="0.2">
      <c r="A158" s="14">
        <v>44316</v>
      </c>
      <c r="B158" s="15"/>
      <c r="C158" s="16" t="s">
        <v>84</v>
      </c>
      <c r="D158" s="15" t="s">
        <v>9</v>
      </c>
      <c r="E158" s="17"/>
      <c r="F158" s="17">
        <v>487589</v>
      </c>
      <c r="G158" s="10">
        <f t="shared" si="2"/>
        <v>-8603162</v>
      </c>
    </row>
    <row r="159" spans="1:7" x14ac:dyDescent="0.2">
      <c r="A159" s="13">
        <v>44316</v>
      </c>
      <c r="C159" s="2" t="s">
        <v>119</v>
      </c>
      <c r="D159" s="1" t="s">
        <v>9</v>
      </c>
      <c r="F159" s="3">
        <v>155667</v>
      </c>
      <c r="G159" s="10">
        <f t="shared" ref="G159:G227" si="3">G158+E159-F159</f>
        <v>-8758829</v>
      </c>
    </row>
    <row r="160" spans="1:7" ht="15.75" x14ac:dyDescent="0.25">
      <c r="A160" s="11" t="s">
        <v>120</v>
      </c>
    </row>
    <row r="161" spans="1:9" x14ac:dyDescent="0.2">
      <c r="A161" s="12" t="s">
        <v>2</v>
      </c>
      <c r="B161" s="5" t="s">
        <v>1</v>
      </c>
      <c r="C161" s="5" t="s">
        <v>3</v>
      </c>
      <c r="D161" s="5"/>
      <c r="E161" s="8" t="s">
        <v>4</v>
      </c>
      <c r="F161" s="8" t="s">
        <v>6</v>
      </c>
      <c r="G161" s="9" t="s">
        <v>5</v>
      </c>
    </row>
    <row r="162" spans="1:9" x14ac:dyDescent="0.2">
      <c r="A162" s="18">
        <v>44322</v>
      </c>
      <c r="B162" s="5"/>
      <c r="C162" s="19" t="s">
        <v>133</v>
      </c>
      <c r="D162" s="1" t="s">
        <v>9</v>
      </c>
      <c r="E162" s="3">
        <f>54459+34147+89975</f>
        <v>178581</v>
      </c>
      <c r="F162" s="8"/>
      <c r="G162" s="10">
        <f>G159+E162-F162</f>
        <v>-8580248</v>
      </c>
    </row>
    <row r="163" spans="1:9" x14ac:dyDescent="0.2">
      <c r="A163" s="18">
        <v>44322</v>
      </c>
      <c r="B163" s="5"/>
      <c r="C163" s="19" t="s">
        <v>134</v>
      </c>
      <c r="D163" s="1" t="s">
        <v>9</v>
      </c>
      <c r="E163" s="3">
        <f>192215+297891+40363</f>
        <v>530469</v>
      </c>
      <c r="F163" s="8"/>
      <c r="G163" s="10">
        <f t="shared" si="3"/>
        <v>-8049779</v>
      </c>
    </row>
    <row r="164" spans="1:9" x14ac:dyDescent="0.2">
      <c r="A164" s="13">
        <v>44323</v>
      </c>
      <c r="C164" s="2" t="s">
        <v>18</v>
      </c>
      <c r="D164" s="1" t="s">
        <v>9</v>
      </c>
      <c r="E164" s="3">
        <v>74142</v>
      </c>
      <c r="G164" s="10">
        <f t="shared" si="3"/>
        <v>-7975637</v>
      </c>
    </row>
    <row r="165" spans="1:9" x14ac:dyDescent="0.2">
      <c r="A165" s="13">
        <v>44323</v>
      </c>
      <c r="C165" s="2" t="s">
        <v>18</v>
      </c>
      <c r="D165" s="1" t="s">
        <v>9</v>
      </c>
      <c r="E165" s="3">
        <v>9027</v>
      </c>
      <c r="G165" s="10">
        <f t="shared" si="3"/>
        <v>-7966610</v>
      </c>
    </row>
    <row r="166" spans="1:9" x14ac:dyDescent="0.2">
      <c r="A166" s="13">
        <v>44326</v>
      </c>
      <c r="C166" s="2" t="s">
        <v>49</v>
      </c>
      <c r="D166" s="1" t="s">
        <v>9</v>
      </c>
      <c r="F166" s="3">
        <f>500000</f>
        <v>500000</v>
      </c>
      <c r="G166" s="10">
        <f t="shared" si="3"/>
        <v>-8466610</v>
      </c>
    </row>
    <row r="167" spans="1:9" x14ac:dyDescent="0.2">
      <c r="A167" s="13">
        <v>44326</v>
      </c>
      <c r="C167" s="2" t="s">
        <v>128</v>
      </c>
      <c r="D167" s="1" t="s">
        <v>9</v>
      </c>
      <c r="F167" s="3">
        <f>456360</f>
        <v>456360</v>
      </c>
      <c r="G167" s="10">
        <f t="shared" si="3"/>
        <v>-8922970</v>
      </c>
    </row>
    <row r="168" spans="1:9" x14ac:dyDescent="0.2">
      <c r="A168" s="13">
        <v>44326</v>
      </c>
      <c r="C168" s="2" t="s">
        <v>104</v>
      </c>
      <c r="D168" s="1" t="s">
        <v>9</v>
      </c>
      <c r="F168" s="3">
        <f>500000+275</f>
        <v>500275</v>
      </c>
      <c r="G168" s="10">
        <f t="shared" si="3"/>
        <v>-9423245</v>
      </c>
    </row>
    <row r="169" spans="1:9" x14ac:dyDescent="0.2">
      <c r="A169" s="13">
        <v>44326</v>
      </c>
      <c r="C169" s="2" t="s">
        <v>129</v>
      </c>
      <c r="D169" s="1" t="s">
        <v>9</v>
      </c>
      <c r="F169" s="3">
        <f>1800000</f>
        <v>1800000</v>
      </c>
      <c r="G169" s="10">
        <f t="shared" si="3"/>
        <v>-11223245</v>
      </c>
    </row>
    <row r="170" spans="1:9" x14ac:dyDescent="0.2">
      <c r="A170" s="13">
        <v>44326</v>
      </c>
      <c r="C170" s="2" t="s">
        <v>130</v>
      </c>
      <c r="D170" s="1" t="s">
        <v>9</v>
      </c>
      <c r="F170" s="3">
        <f>644448+275</f>
        <v>644723</v>
      </c>
      <c r="G170" s="10">
        <f t="shared" si="3"/>
        <v>-11867968</v>
      </c>
    </row>
    <row r="171" spans="1:9" x14ac:dyDescent="0.2">
      <c r="A171" s="13">
        <v>44326</v>
      </c>
      <c r="C171" s="2" t="s">
        <v>131</v>
      </c>
      <c r="D171" s="1" t="s">
        <v>9</v>
      </c>
      <c r="F171" s="3">
        <f>1167382+275</f>
        <v>1167657</v>
      </c>
      <c r="G171" s="10">
        <f t="shared" si="3"/>
        <v>-13035625</v>
      </c>
    </row>
    <row r="172" spans="1:9" x14ac:dyDescent="0.2">
      <c r="A172" s="13">
        <v>44326</v>
      </c>
      <c r="C172" s="2" t="s">
        <v>132</v>
      </c>
      <c r="D172" s="1" t="s">
        <v>9</v>
      </c>
      <c r="F172" s="3">
        <f>172333+275</f>
        <v>172608</v>
      </c>
      <c r="G172" s="10">
        <f t="shared" si="3"/>
        <v>-13208233</v>
      </c>
    </row>
    <row r="173" spans="1:9" x14ac:dyDescent="0.2">
      <c r="A173" s="13">
        <v>44326</v>
      </c>
      <c r="C173" s="2" t="s">
        <v>137</v>
      </c>
      <c r="D173" s="1" t="s">
        <v>9</v>
      </c>
      <c r="E173" s="3">
        <v>94730</v>
      </c>
      <c r="G173" s="10">
        <f t="shared" si="3"/>
        <v>-13113503</v>
      </c>
    </row>
    <row r="174" spans="1:9" x14ac:dyDescent="0.2">
      <c r="A174" s="13">
        <v>44326</v>
      </c>
      <c r="B174" s="1" t="s">
        <v>138</v>
      </c>
      <c r="C174" s="2" t="s">
        <v>149</v>
      </c>
      <c r="D174" s="1" t="s">
        <v>9</v>
      </c>
      <c r="F174" s="3">
        <v>685604</v>
      </c>
      <c r="G174" s="10">
        <f t="shared" si="3"/>
        <v>-13799107</v>
      </c>
    </row>
    <row r="175" spans="1:9" x14ac:dyDescent="0.2">
      <c r="A175" s="13">
        <v>44326</v>
      </c>
      <c r="C175" s="2" t="s">
        <v>139</v>
      </c>
      <c r="D175" s="1" t="s">
        <v>9</v>
      </c>
      <c r="F175" s="3">
        <v>10000</v>
      </c>
      <c r="G175" s="10">
        <f t="shared" si="3"/>
        <v>-13809107</v>
      </c>
      <c r="I175" s="10">
        <f>I174-G175</f>
        <v>13809107</v>
      </c>
    </row>
    <row r="176" spans="1:9" x14ac:dyDescent="0.2">
      <c r="A176" s="13">
        <v>44327</v>
      </c>
      <c r="C176" s="19" t="s">
        <v>135</v>
      </c>
      <c r="D176" s="1" t="s">
        <v>9</v>
      </c>
      <c r="E176" s="3">
        <f>711696+67366+147532+213349</f>
        <v>1139943</v>
      </c>
      <c r="G176" s="10">
        <f t="shared" si="3"/>
        <v>-12669164</v>
      </c>
    </row>
    <row r="177" spans="1:7" x14ac:dyDescent="0.2">
      <c r="A177" s="13">
        <v>44327</v>
      </c>
      <c r="C177" s="19" t="s">
        <v>136</v>
      </c>
      <c r="D177" s="1" t="s">
        <v>9</v>
      </c>
      <c r="E177" s="3">
        <f>284392+306417+312606</f>
        <v>903415</v>
      </c>
      <c r="G177" s="10">
        <f t="shared" si="3"/>
        <v>-11765749</v>
      </c>
    </row>
    <row r="178" spans="1:7" x14ac:dyDescent="0.2">
      <c r="A178" s="13">
        <v>44330</v>
      </c>
      <c r="C178" s="2" t="s">
        <v>140</v>
      </c>
      <c r="D178" s="1" t="s">
        <v>9</v>
      </c>
      <c r="F178" s="3">
        <f>2104182</f>
        <v>2104182</v>
      </c>
      <c r="G178" s="10">
        <f t="shared" si="3"/>
        <v>-13869931</v>
      </c>
    </row>
    <row r="179" spans="1:7" x14ac:dyDescent="0.2">
      <c r="A179" s="21">
        <v>44330</v>
      </c>
      <c r="B179" s="22" t="s">
        <v>141</v>
      </c>
      <c r="C179" s="23" t="s">
        <v>154</v>
      </c>
      <c r="D179" s="22" t="s">
        <v>9</v>
      </c>
      <c r="E179" s="24"/>
      <c r="F179" s="24">
        <v>265735</v>
      </c>
      <c r="G179" s="10">
        <f t="shared" si="3"/>
        <v>-14135666</v>
      </c>
    </row>
    <row r="180" spans="1:7" x14ac:dyDescent="0.2">
      <c r="A180" s="13">
        <v>44330</v>
      </c>
      <c r="C180" s="2" t="s">
        <v>53</v>
      </c>
      <c r="D180" s="1" t="s">
        <v>9</v>
      </c>
      <c r="F180" s="3">
        <v>100</v>
      </c>
      <c r="G180" s="10">
        <f t="shared" si="3"/>
        <v>-14135766</v>
      </c>
    </row>
    <row r="181" spans="1:7" x14ac:dyDescent="0.2">
      <c r="A181" s="13">
        <v>44330</v>
      </c>
      <c r="C181" s="2" t="s">
        <v>142</v>
      </c>
      <c r="D181" s="1" t="s">
        <v>9</v>
      </c>
      <c r="E181" s="3">
        <v>2000000</v>
      </c>
      <c r="G181" s="10">
        <f t="shared" si="3"/>
        <v>-12135766</v>
      </c>
    </row>
    <row r="182" spans="1:7" x14ac:dyDescent="0.2">
      <c r="A182" s="13">
        <v>44333</v>
      </c>
      <c r="C182" s="2" t="s">
        <v>35</v>
      </c>
      <c r="D182" s="1" t="s">
        <v>9</v>
      </c>
      <c r="F182" s="3">
        <v>6600</v>
      </c>
      <c r="G182" s="10">
        <f t="shared" si="3"/>
        <v>-12142366</v>
      </c>
    </row>
    <row r="183" spans="1:7" x14ac:dyDescent="0.2">
      <c r="A183" s="13">
        <v>44333</v>
      </c>
      <c r="C183" s="2" t="s">
        <v>145</v>
      </c>
      <c r="D183" s="1" t="s">
        <v>9</v>
      </c>
      <c r="E183" s="3">
        <f>207271+119043+208123+34073</f>
        <v>568510</v>
      </c>
      <c r="G183" s="10">
        <f t="shared" si="3"/>
        <v>-11573856</v>
      </c>
    </row>
    <row r="184" spans="1:7" x14ac:dyDescent="0.2">
      <c r="A184" s="13">
        <v>44334</v>
      </c>
      <c r="B184" s="1" t="s">
        <v>143</v>
      </c>
      <c r="C184" s="2" t="s">
        <v>150</v>
      </c>
      <c r="D184" s="1" t="s">
        <v>9</v>
      </c>
      <c r="F184" s="3">
        <v>330000</v>
      </c>
      <c r="G184" s="10">
        <f t="shared" si="3"/>
        <v>-11903856</v>
      </c>
    </row>
    <row r="185" spans="1:7" x14ac:dyDescent="0.2">
      <c r="A185" s="13">
        <v>44334</v>
      </c>
      <c r="C185" s="2" t="s">
        <v>144</v>
      </c>
      <c r="D185" s="1" t="s">
        <v>9</v>
      </c>
      <c r="E185" s="3">
        <v>70800</v>
      </c>
      <c r="G185" s="10">
        <f t="shared" si="3"/>
        <v>-11833056</v>
      </c>
    </row>
    <row r="186" spans="1:7" x14ac:dyDescent="0.2">
      <c r="A186" s="13">
        <v>44335</v>
      </c>
      <c r="C186" s="19" t="s">
        <v>146</v>
      </c>
      <c r="D186" s="1" t="s">
        <v>9</v>
      </c>
      <c r="E186" s="3">
        <v>105244</v>
      </c>
      <c r="G186" s="10">
        <f t="shared" si="3"/>
        <v>-11727812</v>
      </c>
    </row>
    <row r="187" spans="1:7" x14ac:dyDescent="0.2">
      <c r="A187" s="13">
        <v>44335</v>
      </c>
      <c r="C187" s="19" t="s">
        <v>147</v>
      </c>
      <c r="D187" s="1" t="s">
        <v>9</v>
      </c>
      <c r="E187" s="3">
        <f>144113+43159</f>
        <v>187272</v>
      </c>
      <c r="G187" s="10">
        <f t="shared" si="3"/>
        <v>-11540540</v>
      </c>
    </row>
    <row r="188" spans="1:7" x14ac:dyDescent="0.2">
      <c r="A188" s="13">
        <v>44335</v>
      </c>
      <c r="C188" s="19" t="s">
        <v>148</v>
      </c>
      <c r="D188" s="1" t="s">
        <v>9</v>
      </c>
      <c r="E188" s="3">
        <v>19308</v>
      </c>
      <c r="G188" s="10">
        <f t="shared" si="3"/>
        <v>-11521232</v>
      </c>
    </row>
    <row r="189" spans="1:7" x14ac:dyDescent="0.2">
      <c r="A189" s="13">
        <v>44335</v>
      </c>
      <c r="C189" s="19" t="s">
        <v>115</v>
      </c>
      <c r="D189" s="1" t="s">
        <v>9</v>
      </c>
      <c r="E189" s="3">
        <v>34515</v>
      </c>
      <c r="G189" s="10">
        <f t="shared" si="3"/>
        <v>-11486717</v>
      </c>
    </row>
    <row r="190" spans="1:7" x14ac:dyDescent="0.2">
      <c r="A190" s="14">
        <v>44336</v>
      </c>
      <c r="B190" s="15"/>
      <c r="C190" s="20" t="s">
        <v>38</v>
      </c>
      <c r="D190" s="15" t="s">
        <v>9</v>
      </c>
      <c r="E190" s="17"/>
      <c r="F190" s="17">
        <f>2000+200</f>
        <v>2200</v>
      </c>
      <c r="G190" s="10">
        <f t="shared" si="3"/>
        <v>-11488917</v>
      </c>
    </row>
    <row r="191" spans="1:7" x14ac:dyDescent="0.2">
      <c r="A191" s="13">
        <v>44337</v>
      </c>
      <c r="B191" s="1" t="s">
        <v>151</v>
      </c>
      <c r="C191" s="2" t="s">
        <v>8</v>
      </c>
      <c r="D191" s="1" t="s">
        <v>9</v>
      </c>
      <c r="F191" s="3">
        <v>700000</v>
      </c>
      <c r="G191" s="10">
        <f t="shared" si="3"/>
        <v>-12188917</v>
      </c>
    </row>
    <row r="192" spans="1:7" x14ac:dyDescent="0.2">
      <c r="A192" s="13">
        <v>44341</v>
      </c>
      <c r="C192" s="2" t="s">
        <v>27</v>
      </c>
      <c r="D192" s="1" t="s">
        <v>9</v>
      </c>
      <c r="F192" s="3">
        <v>500000</v>
      </c>
      <c r="G192" s="10">
        <f t="shared" si="3"/>
        <v>-12688917</v>
      </c>
    </row>
    <row r="193" spans="1:7" x14ac:dyDescent="0.2">
      <c r="A193" s="13">
        <v>44341</v>
      </c>
      <c r="C193" s="19" t="s">
        <v>152</v>
      </c>
      <c r="D193" s="1" t="s">
        <v>9</v>
      </c>
      <c r="E193" s="3">
        <v>221964</v>
      </c>
      <c r="G193" s="10">
        <f t="shared" si="3"/>
        <v>-12466953</v>
      </c>
    </row>
    <row r="194" spans="1:7" x14ac:dyDescent="0.2">
      <c r="A194" s="13">
        <v>44341</v>
      </c>
      <c r="C194" s="19" t="s">
        <v>153</v>
      </c>
      <c r="D194" s="1" t="s">
        <v>9</v>
      </c>
      <c r="E194" s="3">
        <f>944000+154072+152220</f>
        <v>1250292</v>
      </c>
      <c r="G194" s="10">
        <f t="shared" si="3"/>
        <v>-11216661</v>
      </c>
    </row>
    <row r="195" spans="1:7" x14ac:dyDescent="0.2">
      <c r="A195" s="14">
        <v>44342</v>
      </c>
      <c r="B195" s="15"/>
      <c r="C195" s="20" t="s">
        <v>38</v>
      </c>
      <c r="D195" s="15" t="s">
        <v>9</v>
      </c>
      <c r="E195" s="17"/>
      <c r="F195" s="17">
        <v>8800</v>
      </c>
      <c r="G195" s="10">
        <f t="shared" si="3"/>
        <v>-11225461</v>
      </c>
    </row>
    <row r="196" spans="1:7" x14ac:dyDescent="0.2">
      <c r="A196" s="13">
        <v>44344</v>
      </c>
      <c r="C196" s="2" t="s">
        <v>165</v>
      </c>
      <c r="D196" s="1" t="s">
        <v>9</v>
      </c>
      <c r="E196" s="3">
        <v>17648</v>
      </c>
      <c r="G196" s="10">
        <f t="shared" si="3"/>
        <v>-11207813</v>
      </c>
    </row>
    <row r="197" spans="1:7" x14ac:dyDescent="0.2">
      <c r="A197" s="13">
        <v>44347</v>
      </c>
      <c r="C197" s="19" t="s">
        <v>155</v>
      </c>
      <c r="D197" s="1" t="s">
        <v>9</v>
      </c>
      <c r="E197" s="3">
        <f>936802+51751</f>
        <v>988553</v>
      </c>
      <c r="G197" s="10">
        <f t="shared" si="3"/>
        <v>-10219260</v>
      </c>
    </row>
    <row r="198" spans="1:7" x14ac:dyDescent="0.2">
      <c r="A198" s="13">
        <v>44347</v>
      </c>
      <c r="C198" s="2" t="s">
        <v>156</v>
      </c>
      <c r="D198" s="1" t="s">
        <v>9</v>
      </c>
      <c r="F198" s="3">
        <v>2054893</v>
      </c>
      <c r="G198" s="10">
        <f t="shared" si="3"/>
        <v>-12274153</v>
      </c>
    </row>
    <row r="199" spans="1:7" x14ac:dyDescent="0.2">
      <c r="A199" s="13">
        <v>44347</v>
      </c>
      <c r="C199" s="2" t="s">
        <v>34</v>
      </c>
      <c r="D199" s="1" t="s">
        <v>9</v>
      </c>
      <c r="F199" s="3">
        <v>1125</v>
      </c>
      <c r="G199" s="10">
        <f t="shared" si="3"/>
        <v>-12275278</v>
      </c>
    </row>
    <row r="200" spans="1:7" x14ac:dyDescent="0.2">
      <c r="A200" s="13">
        <v>44347</v>
      </c>
      <c r="C200" s="2" t="s">
        <v>164</v>
      </c>
      <c r="D200" s="1" t="s">
        <v>9</v>
      </c>
      <c r="F200" s="3">
        <v>156200</v>
      </c>
      <c r="G200" s="10">
        <f t="shared" si="3"/>
        <v>-12431478</v>
      </c>
    </row>
    <row r="201" spans="1:7" x14ac:dyDescent="0.2">
      <c r="A201" s="13">
        <v>44347</v>
      </c>
      <c r="C201" s="2" t="s">
        <v>52</v>
      </c>
      <c r="D201" s="1" t="s">
        <v>9</v>
      </c>
      <c r="E201" s="3">
        <v>1000000</v>
      </c>
      <c r="G201" s="10">
        <f t="shared" si="3"/>
        <v>-11431478</v>
      </c>
    </row>
    <row r="202" spans="1:7" x14ac:dyDescent="0.2">
      <c r="A202" s="13">
        <v>44347</v>
      </c>
      <c r="C202" s="2" t="s">
        <v>53</v>
      </c>
      <c r="D202" s="1" t="s">
        <v>9</v>
      </c>
      <c r="F202" s="3">
        <v>100</v>
      </c>
      <c r="G202" s="10">
        <f t="shared" si="3"/>
        <v>-11431578</v>
      </c>
    </row>
    <row r="203" spans="1:7" ht="15.75" x14ac:dyDescent="0.25">
      <c r="A203" s="11" t="s">
        <v>169</v>
      </c>
    </row>
    <row r="204" spans="1:7" x14ac:dyDescent="0.2">
      <c r="A204" s="12" t="s">
        <v>2</v>
      </c>
      <c r="B204" s="5" t="s">
        <v>1</v>
      </c>
      <c r="C204" s="5" t="s">
        <v>3</v>
      </c>
      <c r="D204" s="5"/>
      <c r="E204" s="8" t="s">
        <v>4</v>
      </c>
      <c r="F204" s="8" t="s">
        <v>6</v>
      </c>
      <c r="G204" s="9" t="s">
        <v>5</v>
      </c>
    </row>
    <row r="205" spans="1:7" x14ac:dyDescent="0.2">
      <c r="A205" s="13">
        <v>44348</v>
      </c>
      <c r="C205" s="19" t="s">
        <v>166</v>
      </c>
      <c r="D205" s="1" t="s">
        <v>9</v>
      </c>
      <c r="E205" s="3">
        <f>919267+108371</f>
        <v>1027638</v>
      </c>
      <c r="G205" s="10">
        <f>G202+E205-F205</f>
        <v>-10403940</v>
      </c>
    </row>
    <row r="206" spans="1:7" x14ac:dyDescent="0.2">
      <c r="A206" s="13">
        <v>44348</v>
      </c>
      <c r="C206" s="19" t="s">
        <v>167</v>
      </c>
      <c r="D206" s="1" t="s">
        <v>9</v>
      </c>
      <c r="E206" s="3">
        <v>623040</v>
      </c>
      <c r="G206" s="10">
        <f t="shared" si="3"/>
        <v>-9780900</v>
      </c>
    </row>
    <row r="207" spans="1:7" x14ac:dyDescent="0.2">
      <c r="A207" s="14">
        <v>44350</v>
      </c>
      <c r="B207" s="15"/>
      <c r="C207" s="20" t="s">
        <v>38</v>
      </c>
      <c r="D207" s="15" t="s">
        <v>9</v>
      </c>
      <c r="E207" s="17"/>
      <c r="F207" s="17">
        <v>2200</v>
      </c>
      <c r="G207" s="10">
        <f t="shared" si="3"/>
        <v>-9783100</v>
      </c>
    </row>
    <row r="208" spans="1:7" x14ac:dyDescent="0.2">
      <c r="A208" s="13">
        <v>44350</v>
      </c>
      <c r="C208" s="2" t="s">
        <v>168</v>
      </c>
      <c r="D208" s="1" t="s">
        <v>9</v>
      </c>
      <c r="E208" s="3">
        <v>61950</v>
      </c>
      <c r="G208" s="10">
        <f t="shared" si="3"/>
        <v>-9721150</v>
      </c>
    </row>
    <row r="209" spans="1:7" x14ac:dyDescent="0.2">
      <c r="A209" s="13">
        <v>44350</v>
      </c>
      <c r="C209" s="2" t="s">
        <v>168</v>
      </c>
      <c r="D209" s="1" t="s">
        <v>9</v>
      </c>
      <c r="E209" s="3">
        <v>741350</v>
      </c>
      <c r="G209" s="10">
        <f t="shared" si="3"/>
        <v>-8979800</v>
      </c>
    </row>
    <row r="210" spans="1:7" x14ac:dyDescent="0.2">
      <c r="A210" s="21">
        <v>44351</v>
      </c>
      <c r="B210" s="22"/>
      <c r="C210" s="23" t="s">
        <v>177</v>
      </c>
      <c r="D210" s="22" t="s">
        <v>9</v>
      </c>
      <c r="E210" s="24">
        <f>36068+78473</f>
        <v>114541</v>
      </c>
      <c r="F210" s="24"/>
      <c r="G210" s="10">
        <f t="shared" si="3"/>
        <v>-8865259</v>
      </c>
    </row>
    <row r="211" spans="1:7" x14ac:dyDescent="0.2">
      <c r="A211" s="21">
        <v>44351</v>
      </c>
      <c r="B211" s="22"/>
      <c r="C211" s="23" t="s">
        <v>175</v>
      </c>
      <c r="D211" s="22" t="s">
        <v>9</v>
      </c>
      <c r="E211" s="24">
        <f>114254+33644</f>
        <v>147898</v>
      </c>
      <c r="F211" s="24"/>
      <c r="G211" s="10">
        <f t="shared" si="3"/>
        <v>-8717361</v>
      </c>
    </row>
    <row r="212" spans="1:7" x14ac:dyDescent="0.2">
      <c r="A212" s="21">
        <v>44351</v>
      </c>
      <c r="B212" s="22"/>
      <c r="C212" s="23" t="s">
        <v>176</v>
      </c>
      <c r="D212" s="22" t="s">
        <v>9</v>
      </c>
      <c r="E212" s="24">
        <f>16550+18710+84960</f>
        <v>120220</v>
      </c>
      <c r="F212" s="24"/>
      <c r="G212" s="10">
        <f t="shared" si="3"/>
        <v>-8597141</v>
      </c>
    </row>
    <row r="213" spans="1:7" x14ac:dyDescent="0.2">
      <c r="A213" s="13">
        <v>44354</v>
      </c>
      <c r="C213" s="2" t="s">
        <v>170</v>
      </c>
      <c r="D213" s="1" t="s">
        <v>9</v>
      </c>
      <c r="F213" s="3">
        <f>3343980</f>
        <v>3343980</v>
      </c>
      <c r="G213" s="10">
        <f t="shared" si="3"/>
        <v>-11941121</v>
      </c>
    </row>
    <row r="214" spans="1:7" x14ac:dyDescent="0.2">
      <c r="A214" s="14">
        <v>44355</v>
      </c>
      <c r="B214" s="15"/>
      <c r="C214" s="16" t="s">
        <v>38</v>
      </c>
      <c r="D214" s="15" t="s">
        <v>9</v>
      </c>
      <c r="E214" s="17"/>
      <c r="F214" s="17">
        <v>8800</v>
      </c>
      <c r="G214" s="10">
        <f t="shared" si="3"/>
        <v>-11949921</v>
      </c>
    </row>
    <row r="215" spans="1:7" x14ac:dyDescent="0.2">
      <c r="A215" s="21">
        <v>44355</v>
      </c>
      <c r="B215" s="22" t="s">
        <v>171</v>
      </c>
      <c r="C215" s="23" t="s">
        <v>172</v>
      </c>
      <c r="D215" s="22" t="s">
        <v>9</v>
      </c>
      <c r="E215" s="24"/>
      <c r="F215" s="24">
        <v>125000</v>
      </c>
      <c r="G215" s="10">
        <f t="shared" si="3"/>
        <v>-12074921</v>
      </c>
    </row>
    <row r="216" spans="1:7" x14ac:dyDescent="0.2">
      <c r="A216" s="13">
        <v>44355</v>
      </c>
      <c r="C216" s="2" t="s">
        <v>15</v>
      </c>
      <c r="D216" s="1" t="s">
        <v>9</v>
      </c>
      <c r="E216" s="3">
        <v>1379075</v>
      </c>
      <c r="G216" s="10">
        <f t="shared" si="3"/>
        <v>-10695846</v>
      </c>
    </row>
    <row r="217" spans="1:7" x14ac:dyDescent="0.2">
      <c r="A217" s="13">
        <v>44355</v>
      </c>
      <c r="C217" s="2" t="s">
        <v>21</v>
      </c>
      <c r="D217" s="1" t="s">
        <v>9</v>
      </c>
      <c r="E217" s="3">
        <v>90472</v>
      </c>
      <c r="G217" s="10">
        <f t="shared" si="3"/>
        <v>-10605374</v>
      </c>
    </row>
    <row r="218" spans="1:7" x14ac:dyDescent="0.2">
      <c r="A218" s="14">
        <v>44356</v>
      </c>
      <c r="B218" s="15"/>
      <c r="C218" s="16" t="s">
        <v>84</v>
      </c>
      <c r="D218" s="15" t="s">
        <v>9</v>
      </c>
      <c r="E218" s="17"/>
      <c r="F218" s="17">
        <v>487589</v>
      </c>
      <c r="G218" s="10">
        <f t="shared" si="3"/>
        <v>-11092963</v>
      </c>
    </row>
    <row r="219" spans="1:7" x14ac:dyDescent="0.2">
      <c r="A219" s="13">
        <v>44356</v>
      </c>
      <c r="C219" s="2" t="s">
        <v>52</v>
      </c>
      <c r="D219" s="1" t="s">
        <v>9</v>
      </c>
      <c r="E219" s="3">
        <v>700000</v>
      </c>
      <c r="G219" s="10">
        <f t="shared" si="3"/>
        <v>-10392963</v>
      </c>
    </row>
    <row r="220" spans="1:7" x14ac:dyDescent="0.2">
      <c r="A220" s="13">
        <v>44356</v>
      </c>
      <c r="C220" s="2" t="s">
        <v>53</v>
      </c>
      <c r="D220" s="1" t="s">
        <v>9</v>
      </c>
      <c r="F220" s="3">
        <v>100</v>
      </c>
      <c r="G220" s="10">
        <f t="shared" si="3"/>
        <v>-10393063</v>
      </c>
    </row>
    <row r="221" spans="1:7" x14ac:dyDescent="0.2">
      <c r="A221" s="13">
        <v>44357</v>
      </c>
      <c r="C221" s="2" t="s">
        <v>157</v>
      </c>
      <c r="D221" s="1" t="s">
        <v>9</v>
      </c>
      <c r="F221" s="3">
        <f>97738+275</f>
        <v>98013</v>
      </c>
      <c r="G221" s="10">
        <f t="shared" si="3"/>
        <v>-10491076</v>
      </c>
    </row>
    <row r="222" spans="1:7" x14ac:dyDescent="0.2">
      <c r="A222" s="13">
        <v>44357</v>
      </c>
      <c r="C222" s="2" t="s">
        <v>158</v>
      </c>
      <c r="D222" s="1" t="s">
        <v>9</v>
      </c>
      <c r="F222" s="3">
        <f>1472623+275</f>
        <v>1472898</v>
      </c>
      <c r="G222" s="10">
        <f t="shared" si="3"/>
        <v>-11963974</v>
      </c>
    </row>
    <row r="223" spans="1:7" x14ac:dyDescent="0.2">
      <c r="A223" s="13">
        <v>44357</v>
      </c>
      <c r="C223" s="2" t="s">
        <v>159</v>
      </c>
      <c r="D223" s="1" t="s">
        <v>9</v>
      </c>
      <c r="F223" s="3">
        <f>500000</f>
        <v>500000</v>
      </c>
      <c r="G223" s="10">
        <f t="shared" si="3"/>
        <v>-12463974</v>
      </c>
    </row>
    <row r="224" spans="1:7" x14ac:dyDescent="0.2">
      <c r="A224" s="13">
        <v>44357</v>
      </c>
      <c r="C224" s="2" t="s">
        <v>160</v>
      </c>
      <c r="D224" s="1" t="s">
        <v>9</v>
      </c>
      <c r="F224" s="3">
        <f>204657+275</f>
        <v>204932</v>
      </c>
      <c r="G224" s="10">
        <f t="shared" si="3"/>
        <v>-12668906</v>
      </c>
    </row>
    <row r="225" spans="1:7" x14ac:dyDescent="0.2">
      <c r="A225" s="13">
        <v>44357</v>
      </c>
      <c r="C225" s="2" t="s">
        <v>161</v>
      </c>
      <c r="D225" s="1" t="s">
        <v>9</v>
      </c>
      <c r="F225" s="3">
        <f>1156967+275</f>
        <v>1157242</v>
      </c>
      <c r="G225" s="10">
        <f t="shared" si="3"/>
        <v>-13826148</v>
      </c>
    </row>
    <row r="226" spans="1:7" x14ac:dyDescent="0.2">
      <c r="A226" s="13">
        <v>44357</v>
      </c>
      <c r="C226" s="2" t="s">
        <v>162</v>
      </c>
      <c r="D226" s="1" t="s">
        <v>9</v>
      </c>
      <c r="F226" s="3">
        <f>687265</f>
        <v>687265</v>
      </c>
      <c r="G226" s="10">
        <f t="shared" si="3"/>
        <v>-14513413</v>
      </c>
    </row>
    <row r="227" spans="1:7" x14ac:dyDescent="0.2">
      <c r="A227" s="13">
        <v>44357</v>
      </c>
      <c r="C227" s="2" t="s">
        <v>163</v>
      </c>
      <c r="D227" s="1" t="s">
        <v>9</v>
      </c>
      <c r="F227" s="3">
        <f>1800000</f>
        <v>1800000</v>
      </c>
      <c r="G227" s="10">
        <f t="shared" si="3"/>
        <v>-16313413</v>
      </c>
    </row>
    <row r="228" spans="1:7" x14ac:dyDescent="0.2">
      <c r="A228" s="13">
        <v>44357</v>
      </c>
      <c r="C228" s="19" t="s">
        <v>173</v>
      </c>
      <c r="D228" s="1" t="s">
        <v>9</v>
      </c>
      <c r="E228" s="3">
        <f>100536+11184+31860+33925</f>
        <v>177505</v>
      </c>
      <c r="G228" s="10">
        <f t="shared" ref="G228:G291" si="4">G227+E228-F228</f>
        <v>-16135908</v>
      </c>
    </row>
    <row r="229" spans="1:7" x14ac:dyDescent="0.2">
      <c r="A229" s="13">
        <v>44357</v>
      </c>
      <c r="C229" s="19" t="s">
        <v>174</v>
      </c>
      <c r="D229" s="1" t="s">
        <v>9</v>
      </c>
      <c r="E229" s="3">
        <f>323500+333798+350462</f>
        <v>1007760</v>
      </c>
      <c r="G229" s="10">
        <f t="shared" si="4"/>
        <v>-15128148</v>
      </c>
    </row>
    <row r="230" spans="1:7" x14ac:dyDescent="0.2">
      <c r="A230" s="13">
        <v>44358</v>
      </c>
      <c r="C230" s="19" t="s">
        <v>105</v>
      </c>
      <c r="D230" s="1" t="s">
        <v>9</v>
      </c>
      <c r="E230" s="3">
        <v>2480105</v>
      </c>
      <c r="G230" s="10">
        <f t="shared" si="4"/>
        <v>-12648043</v>
      </c>
    </row>
    <row r="231" spans="1:7" x14ac:dyDescent="0.2">
      <c r="A231" s="13">
        <v>44361</v>
      </c>
      <c r="C231" s="19" t="s">
        <v>61</v>
      </c>
      <c r="D231" s="1" t="s">
        <v>9</v>
      </c>
      <c r="E231" s="3">
        <v>182311</v>
      </c>
      <c r="G231" s="10">
        <f t="shared" si="4"/>
        <v>-12465732</v>
      </c>
    </row>
    <row r="232" spans="1:7" x14ac:dyDescent="0.2">
      <c r="A232" s="13">
        <v>44363</v>
      </c>
      <c r="C232" s="19" t="s">
        <v>180</v>
      </c>
      <c r="D232" s="1" t="s">
        <v>9</v>
      </c>
      <c r="E232" s="3">
        <f>71272+70753+6549+63130+340334</f>
        <v>552038</v>
      </c>
      <c r="G232" s="10">
        <f t="shared" si="4"/>
        <v>-11913694</v>
      </c>
    </row>
    <row r="233" spans="1:7" x14ac:dyDescent="0.2">
      <c r="A233" s="13">
        <v>44364</v>
      </c>
      <c r="C233" s="19" t="s">
        <v>179</v>
      </c>
      <c r="D233" s="1" t="s">
        <v>9</v>
      </c>
      <c r="F233" s="3">
        <v>1000000</v>
      </c>
      <c r="G233" s="10">
        <f t="shared" si="4"/>
        <v>-12913694</v>
      </c>
    </row>
    <row r="234" spans="1:7" x14ac:dyDescent="0.2">
      <c r="A234" s="13">
        <v>44364</v>
      </c>
      <c r="C234" s="19" t="s">
        <v>178</v>
      </c>
      <c r="D234" s="1" t="s">
        <v>9</v>
      </c>
      <c r="F234" s="3">
        <v>3300</v>
      </c>
      <c r="G234" s="10">
        <f t="shared" si="4"/>
        <v>-12916994</v>
      </c>
    </row>
    <row r="235" spans="1:7" x14ac:dyDescent="0.2">
      <c r="A235" s="13">
        <v>44365</v>
      </c>
      <c r="C235" s="19" t="s">
        <v>115</v>
      </c>
      <c r="D235" s="1" t="s">
        <v>9</v>
      </c>
      <c r="E235" s="3">
        <v>3736576</v>
      </c>
      <c r="G235" s="10">
        <f t="shared" si="4"/>
        <v>-9180418</v>
      </c>
    </row>
    <row r="236" spans="1:7" x14ac:dyDescent="0.2">
      <c r="A236" s="13">
        <v>44365</v>
      </c>
      <c r="C236" s="19" t="s">
        <v>182</v>
      </c>
      <c r="D236" s="1" t="s">
        <v>9</v>
      </c>
      <c r="E236" s="3">
        <f>208548+14042+102662</f>
        <v>325252</v>
      </c>
      <c r="G236" s="10">
        <f t="shared" si="4"/>
        <v>-8855166</v>
      </c>
    </row>
    <row r="237" spans="1:7" x14ac:dyDescent="0.2">
      <c r="A237" s="13">
        <v>44365</v>
      </c>
      <c r="C237" s="19" t="s">
        <v>115</v>
      </c>
      <c r="D237" s="1" t="s">
        <v>9</v>
      </c>
      <c r="E237" s="3">
        <v>7030971</v>
      </c>
      <c r="G237" s="10">
        <f t="shared" si="4"/>
        <v>-1824195</v>
      </c>
    </row>
    <row r="238" spans="1:7" x14ac:dyDescent="0.2">
      <c r="A238" s="13">
        <v>44365</v>
      </c>
      <c r="C238" s="19" t="s">
        <v>181</v>
      </c>
      <c r="D238" s="1" t="s">
        <v>9</v>
      </c>
      <c r="E238" s="3">
        <f>92366+33188+133399</f>
        <v>258953</v>
      </c>
      <c r="G238" s="10">
        <f t="shared" si="4"/>
        <v>-1565242</v>
      </c>
    </row>
    <row r="239" spans="1:7" x14ac:dyDescent="0.2">
      <c r="A239" s="13">
        <v>44369</v>
      </c>
      <c r="C239" s="19" t="s">
        <v>184</v>
      </c>
      <c r="D239" s="1" t="s">
        <v>9</v>
      </c>
      <c r="E239" s="3">
        <v>495600</v>
      </c>
      <c r="G239" s="10">
        <f t="shared" si="4"/>
        <v>-1069642</v>
      </c>
    </row>
    <row r="240" spans="1:7" x14ac:dyDescent="0.2">
      <c r="A240" s="13">
        <v>44369</v>
      </c>
      <c r="C240" s="19" t="s">
        <v>185</v>
      </c>
      <c r="D240" s="1" t="s">
        <v>9</v>
      </c>
      <c r="E240" s="3">
        <v>1290661</v>
      </c>
      <c r="G240" s="10">
        <f t="shared" si="4"/>
        <v>221019</v>
      </c>
    </row>
    <row r="241" spans="1:7" x14ac:dyDescent="0.2">
      <c r="A241" s="13">
        <v>44370</v>
      </c>
      <c r="C241" s="2" t="s">
        <v>35</v>
      </c>
      <c r="D241" s="1" t="s">
        <v>9</v>
      </c>
      <c r="F241" s="3">
        <v>6600</v>
      </c>
      <c r="G241" s="10">
        <f t="shared" si="4"/>
        <v>214419</v>
      </c>
    </row>
    <row r="242" spans="1:7" x14ac:dyDescent="0.2">
      <c r="A242" s="13">
        <v>44371</v>
      </c>
      <c r="C242" s="2" t="s">
        <v>186</v>
      </c>
      <c r="D242" s="1" t="s">
        <v>9</v>
      </c>
      <c r="F242" s="3">
        <f>1294009</f>
        <v>1294009</v>
      </c>
      <c r="G242" s="10">
        <f t="shared" si="4"/>
        <v>-1079590</v>
      </c>
    </row>
    <row r="243" spans="1:7" x14ac:dyDescent="0.2">
      <c r="A243" s="13">
        <v>44371</v>
      </c>
      <c r="C243" s="2" t="s">
        <v>21</v>
      </c>
      <c r="D243" s="1" t="s">
        <v>9</v>
      </c>
      <c r="E243" s="3">
        <v>105849</v>
      </c>
      <c r="G243" s="10">
        <f t="shared" si="4"/>
        <v>-973741</v>
      </c>
    </row>
    <row r="244" spans="1:7" x14ac:dyDescent="0.2">
      <c r="A244" s="13">
        <v>44372</v>
      </c>
      <c r="C244" s="2" t="s">
        <v>52</v>
      </c>
      <c r="D244" s="1" t="s">
        <v>9</v>
      </c>
      <c r="E244" s="3">
        <v>700000</v>
      </c>
      <c r="G244" s="10">
        <f t="shared" si="4"/>
        <v>-273741</v>
      </c>
    </row>
    <row r="245" spans="1:7" x14ac:dyDescent="0.2">
      <c r="A245" s="13">
        <v>44372</v>
      </c>
      <c r="C245" s="2" t="s">
        <v>27</v>
      </c>
      <c r="D245" s="1" t="s">
        <v>9</v>
      </c>
      <c r="F245" s="3">
        <v>500000</v>
      </c>
      <c r="G245" s="10">
        <f t="shared" si="4"/>
        <v>-773741</v>
      </c>
    </row>
    <row r="246" spans="1:7" x14ac:dyDescent="0.2">
      <c r="A246" s="13">
        <v>44372</v>
      </c>
      <c r="C246" s="2" t="s">
        <v>53</v>
      </c>
      <c r="D246" s="1" t="s">
        <v>9</v>
      </c>
      <c r="F246" s="3">
        <v>100</v>
      </c>
      <c r="G246" s="10">
        <f t="shared" si="4"/>
        <v>-773841</v>
      </c>
    </row>
    <row r="247" spans="1:7" x14ac:dyDescent="0.2">
      <c r="A247" s="13">
        <v>44372</v>
      </c>
      <c r="C247" s="2" t="s">
        <v>189</v>
      </c>
      <c r="D247" s="1" t="s">
        <v>9</v>
      </c>
      <c r="E247" s="3">
        <v>298862</v>
      </c>
      <c r="G247" s="10">
        <f t="shared" si="4"/>
        <v>-474979</v>
      </c>
    </row>
    <row r="248" spans="1:7" x14ac:dyDescent="0.2">
      <c r="A248" s="13">
        <v>44372</v>
      </c>
      <c r="C248" s="2" t="s">
        <v>61</v>
      </c>
      <c r="D248" s="1" t="s">
        <v>9</v>
      </c>
      <c r="E248" s="3">
        <v>327450</v>
      </c>
      <c r="G248" s="10">
        <f t="shared" si="4"/>
        <v>-147529</v>
      </c>
    </row>
    <row r="249" spans="1:7" x14ac:dyDescent="0.2">
      <c r="A249" s="13">
        <v>44372</v>
      </c>
      <c r="C249" s="19" t="s">
        <v>187</v>
      </c>
      <c r="D249" s="1" t="s">
        <v>9</v>
      </c>
      <c r="E249" s="3">
        <f>23671+242200</f>
        <v>265871</v>
      </c>
      <c r="G249" s="10">
        <f t="shared" si="4"/>
        <v>118342</v>
      </c>
    </row>
    <row r="250" spans="1:7" x14ac:dyDescent="0.2">
      <c r="A250" s="13">
        <v>44372</v>
      </c>
      <c r="C250" s="19" t="s">
        <v>188</v>
      </c>
      <c r="D250" s="1" t="s">
        <v>9</v>
      </c>
      <c r="E250" s="3">
        <v>121952</v>
      </c>
      <c r="G250" s="10">
        <f t="shared" si="4"/>
        <v>240294</v>
      </c>
    </row>
    <row r="251" spans="1:7" x14ac:dyDescent="0.2">
      <c r="A251" s="13">
        <v>44376</v>
      </c>
      <c r="C251" s="2" t="s">
        <v>35</v>
      </c>
      <c r="D251" s="1" t="s">
        <v>9</v>
      </c>
      <c r="F251" s="3">
        <v>6600</v>
      </c>
      <c r="G251" s="10">
        <f t="shared" si="4"/>
        <v>233694</v>
      </c>
    </row>
    <row r="252" spans="1:7" x14ac:dyDescent="0.2">
      <c r="A252" s="13">
        <v>44376</v>
      </c>
      <c r="C252" s="19" t="s">
        <v>192</v>
      </c>
      <c r="D252" s="1" t="s">
        <v>9</v>
      </c>
      <c r="E252" s="3">
        <f>176776+5837</f>
        <v>182613</v>
      </c>
      <c r="G252" s="10">
        <f t="shared" si="4"/>
        <v>416307</v>
      </c>
    </row>
    <row r="253" spans="1:7" x14ac:dyDescent="0.2">
      <c r="A253" s="13">
        <v>44376</v>
      </c>
      <c r="C253" s="19" t="s">
        <v>191</v>
      </c>
      <c r="D253" s="1" t="s">
        <v>9</v>
      </c>
      <c r="E253" s="3">
        <v>179818</v>
      </c>
      <c r="G253" s="10">
        <f t="shared" si="4"/>
        <v>596125</v>
      </c>
    </row>
    <row r="254" spans="1:7" x14ac:dyDescent="0.2">
      <c r="A254" s="13">
        <v>44377</v>
      </c>
      <c r="C254" s="2" t="s">
        <v>190</v>
      </c>
      <c r="D254" s="1" t="s">
        <v>9</v>
      </c>
      <c r="F254" s="3">
        <v>2231623</v>
      </c>
      <c r="G254" s="10">
        <f t="shared" si="4"/>
        <v>-1635498</v>
      </c>
    </row>
    <row r="255" spans="1:7" x14ac:dyDescent="0.2">
      <c r="A255" s="13">
        <v>44377</v>
      </c>
      <c r="C255" s="2" t="s">
        <v>34</v>
      </c>
      <c r="D255" s="1" t="s">
        <v>9</v>
      </c>
      <c r="F255" s="3">
        <v>1238</v>
      </c>
      <c r="G255" s="10">
        <f t="shared" si="4"/>
        <v>-1636736</v>
      </c>
    </row>
    <row r="256" spans="1:7" x14ac:dyDescent="0.2">
      <c r="A256" s="13">
        <v>44377</v>
      </c>
      <c r="C256" s="2" t="s">
        <v>194</v>
      </c>
      <c r="D256" s="1" t="s">
        <v>9</v>
      </c>
      <c r="F256" s="3">
        <v>137440</v>
      </c>
      <c r="G256" s="10">
        <f t="shared" si="4"/>
        <v>-1774176</v>
      </c>
    </row>
    <row r="257" spans="1:7" x14ac:dyDescent="0.2">
      <c r="A257" s="13">
        <v>44377</v>
      </c>
      <c r="C257" s="19" t="s">
        <v>74</v>
      </c>
      <c r="D257" s="1" t="s">
        <v>9</v>
      </c>
      <c r="E257" s="3">
        <v>600000</v>
      </c>
      <c r="G257" s="10">
        <f t="shared" si="4"/>
        <v>-1174176</v>
      </c>
    </row>
    <row r="258" spans="1:7" x14ac:dyDescent="0.2">
      <c r="A258" s="13">
        <v>44377</v>
      </c>
      <c r="C258" s="19" t="s">
        <v>193</v>
      </c>
      <c r="D258" s="1" t="s">
        <v>9</v>
      </c>
      <c r="E258" s="3">
        <f>13497+211069</f>
        <v>224566</v>
      </c>
      <c r="G258" s="10">
        <f t="shared" si="4"/>
        <v>-949610</v>
      </c>
    </row>
    <row r="259" spans="1:7" ht="15.75" x14ac:dyDescent="0.25">
      <c r="A259" s="11" t="s">
        <v>197</v>
      </c>
    </row>
    <row r="260" spans="1:7" x14ac:dyDescent="0.2">
      <c r="A260" s="12" t="s">
        <v>2</v>
      </c>
      <c r="B260" s="5" t="s">
        <v>1</v>
      </c>
      <c r="C260" s="5" t="s">
        <v>3</v>
      </c>
      <c r="D260" s="5"/>
      <c r="E260" s="8" t="s">
        <v>4</v>
      </c>
      <c r="F260" s="8" t="s">
        <v>6</v>
      </c>
      <c r="G260" s="9" t="s">
        <v>5</v>
      </c>
    </row>
    <row r="261" spans="1:7" x14ac:dyDescent="0.2">
      <c r="A261" s="21">
        <v>44378</v>
      </c>
      <c r="B261" s="22" t="s">
        <v>195</v>
      </c>
      <c r="C261" s="23" t="s">
        <v>211</v>
      </c>
      <c r="D261" s="22" t="s">
        <v>9</v>
      </c>
      <c r="E261" s="24"/>
      <c r="F261" s="24">
        <v>240000</v>
      </c>
      <c r="G261" s="10">
        <f>G258+E261-F261</f>
        <v>-1189610</v>
      </c>
    </row>
    <row r="262" spans="1:7" x14ac:dyDescent="0.2">
      <c r="A262" s="21">
        <v>44378</v>
      </c>
      <c r="B262" s="22" t="s">
        <v>196</v>
      </c>
      <c r="C262" s="23" t="s">
        <v>218</v>
      </c>
      <c r="D262" s="22" t="s">
        <v>9</v>
      </c>
      <c r="E262" s="24"/>
      <c r="F262" s="24">
        <v>90000</v>
      </c>
      <c r="G262" s="10">
        <f t="shared" si="4"/>
        <v>-1279610</v>
      </c>
    </row>
    <row r="263" spans="1:7" x14ac:dyDescent="0.2">
      <c r="A263" s="21">
        <v>44379</v>
      </c>
      <c r="B263" s="22" t="s">
        <v>200</v>
      </c>
      <c r="C263" s="23" t="s">
        <v>212</v>
      </c>
      <c r="D263" s="22" t="s">
        <v>9</v>
      </c>
      <c r="E263" s="24"/>
      <c r="F263" s="24">
        <v>330000</v>
      </c>
      <c r="G263" s="10">
        <f t="shared" si="4"/>
        <v>-1609610</v>
      </c>
    </row>
    <row r="264" spans="1:7" x14ac:dyDescent="0.2">
      <c r="A264" s="13">
        <v>44382</v>
      </c>
      <c r="C264" s="2" t="s">
        <v>18</v>
      </c>
      <c r="D264" s="1" t="s">
        <v>9</v>
      </c>
      <c r="E264" s="3">
        <v>228906</v>
      </c>
      <c r="G264" s="10">
        <f t="shared" si="4"/>
        <v>-1380704</v>
      </c>
    </row>
    <row r="265" spans="1:7" x14ac:dyDescent="0.2">
      <c r="A265" s="13">
        <v>44382</v>
      </c>
      <c r="C265" s="2" t="s">
        <v>35</v>
      </c>
      <c r="D265" s="1" t="s">
        <v>9</v>
      </c>
      <c r="F265" s="3">
        <v>6600</v>
      </c>
      <c r="G265" s="10">
        <f t="shared" si="4"/>
        <v>-1387304</v>
      </c>
    </row>
    <row r="266" spans="1:7" x14ac:dyDescent="0.2">
      <c r="A266" s="13">
        <v>44382</v>
      </c>
      <c r="C266" s="2" t="s">
        <v>201</v>
      </c>
      <c r="D266" s="1" t="s">
        <v>9</v>
      </c>
      <c r="E266" s="3">
        <v>81755</v>
      </c>
      <c r="G266" s="10">
        <f t="shared" si="4"/>
        <v>-1305549</v>
      </c>
    </row>
    <row r="267" spans="1:7" x14ac:dyDescent="0.2">
      <c r="A267" s="21">
        <v>44382</v>
      </c>
      <c r="B267" s="22"/>
      <c r="C267" s="23" t="s">
        <v>84</v>
      </c>
      <c r="D267" s="22" t="s">
        <v>9</v>
      </c>
      <c r="E267" s="24"/>
      <c r="F267" s="24">
        <v>487589</v>
      </c>
      <c r="G267" s="10">
        <f t="shared" si="4"/>
        <v>-1793138</v>
      </c>
    </row>
    <row r="268" spans="1:7" x14ac:dyDescent="0.2">
      <c r="A268" s="21">
        <v>44383</v>
      </c>
      <c r="B268" s="22" t="s">
        <v>198</v>
      </c>
      <c r="C268" s="23" t="s">
        <v>219</v>
      </c>
      <c r="D268" s="22" t="s">
        <v>9</v>
      </c>
      <c r="E268" s="24"/>
      <c r="F268" s="24">
        <v>90720</v>
      </c>
      <c r="G268" s="10">
        <f t="shared" si="4"/>
        <v>-1883858</v>
      </c>
    </row>
    <row r="269" spans="1:7" x14ac:dyDescent="0.2">
      <c r="A269" s="13">
        <v>44383</v>
      </c>
      <c r="C269" s="2" t="s">
        <v>35</v>
      </c>
      <c r="D269" s="1" t="s">
        <v>9</v>
      </c>
      <c r="F269" s="3">
        <v>6600</v>
      </c>
      <c r="G269" s="10">
        <f t="shared" si="4"/>
        <v>-1890458</v>
      </c>
    </row>
    <row r="270" spans="1:7" x14ac:dyDescent="0.2">
      <c r="A270" s="13">
        <v>44383</v>
      </c>
      <c r="C270" s="2" t="s">
        <v>199</v>
      </c>
      <c r="D270" s="1" t="s">
        <v>9</v>
      </c>
      <c r="E270" s="3">
        <v>10000000</v>
      </c>
      <c r="G270" s="10">
        <f t="shared" si="4"/>
        <v>8109542</v>
      </c>
    </row>
    <row r="271" spans="1:7" x14ac:dyDescent="0.2">
      <c r="A271" s="13">
        <v>44383</v>
      </c>
      <c r="C271" s="2" t="s">
        <v>53</v>
      </c>
      <c r="D271" s="1" t="s">
        <v>9</v>
      </c>
      <c r="F271" s="3">
        <v>100</v>
      </c>
      <c r="G271" s="10">
        <f t="shared" si="4"/>
        <v>8109442</v>
      </c>
    </row>
    <row r="272" spans="1:7" x14ac:dyDescent="0.2">
      <c r="A272" s="21">
        <v>44384</v>
      </c>
      <c r="B272" s="22"/>
      <c r="C272" s="23" t="s">
        <v>213</v>
      </c>
      <c r="D272" s="22" t="s">
        <v>9</v>
      </c>
      <c r="E272" s="24">
        <f>63720+153306</f>
        <v>217026</v>
      </c>
      <c r="F272" s="24"/>
      <c r="G272" s="10">
        <f t="shared" si="4"/>
        <v>8326468</v>
      </c>
    </row>
    <row r="273" spans="1:7" x14ac:dyDescent="0.2">
      <c r="A273" s="21">
        <v>44385</v>
      </c>
      <c r="B273" s="22" t="s">
        <v>209</v>
      </c>
      <c r="C273" s="23" t="s">
        <v>154</v>
      </c>
      <c r="D273" s="22" t="s">
        <v>9</v>
      </c>
      <c r="E273" s="24"/>
      <c r="F273" s="24">
        <v>275395</v>
      </c>
      <c r="G273" s="10">
        <f t="shared" si="4"/>
        <v>8051073</v>
      </c>
    </row>
    <row r="274" spans="1:7" x14ac:dyDescent="0.2">
      <c r="A274" s="13">
        <v>44385</v>
      </c>
      <c r="C274" s="2" t="s">
        <v>210</v>
      </c>
      <c r="D274" s="1" t="s">
        <v>9</v>
      </c>
      <c r="E274" s="3">
        <v>354000</v>
      </c>
      <c r="G274" s="10">
        <f t="shared" si="4"/>
        <v>8405073</v>
      </c>
    </row>
    <row r="275" spans="1:7" x14ac:dyDescent="0.2">
      <c r="A275" s="13">
        <v>44386</v>
      </c>
      <c r="C275" s="2" t="s">
        <v>15</v>
      </c>
      <c r="D275" s="1" t="s">
        <v>9</v>
      </c>
      <c r="E275" s="3">
        <v>503838</v>
      </c>
      <c r="G275" s="10">
        <f t="shared" si="4"/>
        <v>8908911</v>
      </c>
    </row>
    <row r="276" spans="1:7" x14ac:dyDescent="0.2">
      <c r="A276" s="13">
        <v>44389</v>
      </c>
      <c r="C276" s="2" t="s">
        <v>202</v>
      </c>
      <c r="D276" s="1" t="s">
        <v>9</v>
      </c>
      <c r="F276" s="3">
        <f>1530000</f>
        <v>1530000</v>
      </c>
      <c r="G276" s="10">
        <f t="shared" si="4"/>
        <v>7378911</v>
      </c>
    </row>
    <row r="277" spans="1:7" x14ac:dyDescent="0.2">
      <c r="A277" s="13">
        <v>44389</v>
      </c>
      <c r="C277" s="2" t="s">
        <v>203</v>
      </c>
      <c r="D277" s="1" t="s">
        <v>9</v>
      </c>
      <c r="F277" s="3">
        <f>500000+275</f>
        <v>500275</v>
      </c>
      <c r="G277" s="10">
        <f t="shared" si="4"/>
        <v>6878636</v>
      </c>
    </row>
    <row r="278" spans="1:7" x14ac:dyDescent="0.2">
      <c r="A278" s="13">
        <v>44389</v>
      </c>
      <c r="C278" s="2" t="s">
        <v>204</v>
      </c>
      <c r="D278" s="1" t="s">
        <v>9</v>
      </c>
      <c r="F278" s="3">
        <f>500000</f>
        <v>500000</v>
      </c>
      <c r="G278" s="10">
        <f t="shared" si="4"/>
        <v>6378636</v>
      </c>
    </row>
    <row r="279" spans="1:7" x14ac:dyDescent="0.2">
      <c r="A279" s="13">
        <v>44389</v>
      </c>
      <c r="C279" s="2" t="s">
        <v>205</v>
      </c>
      <c r="D279" s="1" t="s">
        <v>9</v>
      </c>
      <c r="F279" s="3">
        <f>896955</f>
        <v>896955</v>
      </c>
      <c r="G279" s="10">
        <f t="shared" si="4"/>
        <v>5481681</v>
      </c>
    </row>
    <row r="280" spans="1:7" x14ac:dyDescent="0.2">
      <c r="A280" s="13">
        <v>44389</v>
      </c>
      <c r="C280" s="2" t="s">
        <v>206</v>
      </c>
      <c r="D280" s="1" t="s">
        <v>9</v>
      </c>
      <c r="F280" s="3">
        <f>266317+275</f>
        <v>266592</v>
      </c>
      <c r="G280" s="10">
        <f t="shared" si="4"/>
        <v>5215089</v>
      </c>
    </row>
    <row r="281" spans="1:7" x14ac:dyDescent="0.2">
      <c r="A281" s="13">
        <v>44389</v>
      </c>
      <c r="C281" s="2" t="s">
        <v>207</v>
      </c>
      <c r="D281" s="1" t="s">
        <v>9</v>
      </c>
      <c r="F281" s="3">
        <f>1530746</f>
        <v>1530746</v>
      </c>
      <c r="G281" s="10">
        <f t="shared" si="4"/>
        <v>3684343</v>
      </c>
    </row>
    <row r="282" spans="1:7" x14ac:dyDescent="0.2">
      <c r="A282" s="13">
        <v>44389</v>
      </c>
      <c r="C282" s="2" t="s">
        <v>208</v>
      </c>
      <c r="D282" s="1" t="s">
        <v>9</v>
      </c>
      <c r="F282" s="3">
        <f>286424</f>
        <v>286424</v>
      </c>
      <c r="G282" s="10">
        <f t="shared" si="4"/>
        <v>3397919</v>
      </c>
    </row>
    <row r="283" spans="1:7" x14ac:dyDescent="0.2">
      <c r="A283" s="13">
        <v>44389</v>
      </c>
      <c r="C283" s="2" t="s">
        <v>217</v>
      </c>
      <c r="D283" s="1" t="s">
        <v>9</v>
      </c>
      <c r="E283" s="3">
        <v>7244964</v>
      </c>
      <c r="G283" s="10">
        <f t="shared" si="4"/>
        <v>10642883</v>
      </c>
    </row>
    <row r="284" spans="1:7" x14ac:dyDescent="0.2">
      <c r="A284" s="13">
        <v>44389</v>
      </c>
      <c r="C284" s="2" t="s">
        <v>38</v>
      </c>
      <c r="D284" s="1" t="s">
        <v>9</v>
      </c>
      <c r="F284" s="3">
        <v>8000</v>
      </c>
      <c r="G284" s="10">
        <f t="shared" si="4"/>
        <v>10634883</v>
      </c>
    </row>
    <row r="285" spans="1:7" x14ac:dyDescent="0.2">
      <c r="A285" s="13">
        <v>44389</v>
      </c>
      <c r="C285" s="2" t="s">
        <v>38</v>
      </c>
      <c r="D285" s="1" t="s">
        <v>9</v>
      </c>
      <c r="F285" s="3">
        <v>800</v>
      </c>
      <c r="G285" s="10">
        <f t="shared" si="4"/>
        <v>10634083</v>
      </c>
    </row>
    <row r="286" spans="1:7" x14ac:dyDescent="0.2">
      <c r="A286" s="13">
        <v>44390</v>
      </c>
      <c r="C286" s="23" t="s">
        <v>215</v>
      </c>
      <c r="D286" s="1" t="s">
        <v>9</v>
      </c>
      <c r="E286" s="3">
        <f>3644+59496+368145</f>
        <v>431285</v>
      </c>
      <c r="G286" s="10">
        <f t="shared" si="4"/>
        <v>11065368</v>
      </c>
    </row>
    <row r="287" spans="1:7" x14ac:dyDescent="0.2">
      <c r="A287" s="13">
        <v>44390</v>
      </c>
      <c r="C287" s="23" t="s">
        <v>216</v>
      </c>
      <c r="D287" s="1" t="s">
        <v>9</v>
      </c>
      <c r="E287" s="3">
        <f>179133+198004+141700+209654+22420</f>
        <v>750911</v>
      </c>
      <c r="G287" s="10">
        <f t="shared" si="4"/>
        <v>11816279</v>
      </c>
    </row>
    <row r="288" spans="1:7" x14ac:dyDescent="0.2">
      <c r="A288" s="13">
        <v>44390</v>
      </c>
      <c r="C288" s="2" t="s">
        <v>220</v>
      </c>
      <c r="D288" s="1" t="s">
        <v>9</v>
      </c>
      <c r="F288" s="3">
        <v>5500</v>
      </c>
      <c r="G288" s="10">
        <f t="shared" si="4"/>
        <v>11810779</v>
      </c>
    </row>
    <row r="289" spans="1:7" x14ac:dyDescent="0.2">
      <c r="A289" s="13">
        <v>44390</v>
      </c>
      <c r="C289" s="2" t="s">
        <v>220</v>
      </c>
      <c r="D289" s="1" t="s">
        <v>9</v>
      </c>
      <c r="F289" s="3">
        <v>5500</v>
      </c>
      <c r="G289" s="10">
        <f t="shared" si="4"/>
        <v>11805279</v>
      </c>
    </row>
    <row r="290" spans="1:7" x14ac:dyDescent="0.2">
      <c r="A290" s="13">
        <v>44390</v>
      </c>
      <c r="C290" s="2" t="s">
        <v>45</v>
      </c>
      <c r="D290" s="1" t="s">
        <v>9</v>
      </c>
      <c r="E290" s="3">
        <v>1132800</v>
      </c>
      <c r="G290" s="10">
        <f t="shared" si="4"/>
        <v>12938079</v>
      </c>
    </row>
    <row r="291" spans="1:7" x14ac:dyDescent="0.2">
      <c r="A291" s="13">
        <v>44390</v>
      </c>
      <c r="C291" s="2" t="s">
        <v>61</v>
      </c>
      <c r="D291" s="1" t="s">
        <v>9</v>
      </c>
      <c r="E291" s="3">
        <v>61950</v>
      </c>
      <c r="G291" s="10">
        <f t="shared" si="4"/>
        <v>13000029</v>
      </c>
    </row>
    <row r="292" spans="1:7" x14ac:dyDescent="0.2">
      <c r="A292" s="13">
        <v>44391</v>
      </c>
      <c r="C292" s="2" t="s">
        <v>52</v>
      </c>
      <c r="D292" s="1" t="s">
        <v>9</v>
      </c>
      <c r="E292" s="3">
        <v>1300000</v>
      </c>
      <c r="G292" s="10">
        <f t="shared" ref="G292:G359" si="5">G291+E292-F292</f>
        <v>14300029</v>
      </c>
    </row>
    <row r="293" spans="1:7" x14ac:dyDescent="0.2">
      <c r="A293" s="13">
        <v>44391</v>
      </c>
      <c r="B293" s="1" t="s">
        <v>222</v>
      </c>
      <c r="C293" s="2" t="s">
        <v>231</v>
      </c>
      <c r="D293" s="1" t="s">
        <v>9</v>
      </c>
      <c r="F293" s="3">
        <v>403750</v>
      </c>
      <c r="G293" s="10">
        <f t="shared" si="5"/>
        <v>13896279</v>
      </c>
    </row>
    <row r="294" spans="1:7" x14ac:dyDescent="0.2">
      <c r="A294" s="13">
        <v>44391</v>
      </c>
      <c r="C294" s="2" t="s">
        <v>15</v>
      </c>
      <c r="D294" s="1" t="s">
        <v>9</v>
      </c>
      <c r="E294" s="3">
        <v>1192266</v>
      </c>
      <c r="G294" s="10">
        <f t="shared" si="5"/>
        <v>15088545</v>
      </c>
    </row>
    <row r="295" spans="1:7" x14ac:dyDescent="0.2">
      <c r="A295" s="13">
        <v>44391</v>
      </c>
      <c r="C295" s="2" t="s">
        <v>53</v>
      </c>
      <c r="D295" s="1" t="s">
        <v>9</v>
      </c>
      <c r="F295" s="3">
        <v>100</v>
      </c>
      <c r="G295" s="10">
        <f t="shared" si="5"/>
        <v>15088445</v>
      </c>
    </row>
    <row r="296" spans="1:7" x14ac:dyDescent="0.2">
      <c r="A296" s="13">
        <v>44391</v>
      </c>
      <c r="C296" s="23" t="s">
        <v>221</v>
      </c>
      <c r="D296" s="1" t="s">
        <v>9</v>
      </c>
      <c r="E296" s="3">
        <v>81520</v>
      </c>
      <c r="G296" s="10">
        <f t="shared" si="5"/>
        <v>15169965</v>
      </c>
    </row>
    <row r="297" spans="1:7" x14ac:dyDescent="0.2">
      <c r="A297" s="13">
        <v>44392</v>
      </c>
      <c r="C297" s="2" t="s">
        <v>214</v>
      </c>
      <c r="D297" s="1" t="s">
        <v>9</v>
      </c>
      <c r="E297" s="3">
        <f>963411+19249+253110+9656</f>
        <v>1245426</v>
      </c>
      <c r="G297" s="10">
        <f t="shared" si="5"/>
        <v>16415391</v>
      </c>
    </row>
    <row r="298" spans="1:7" x14ac:dyDescent="0.2">
      <c r="A298" s="13">
        <v>44393</v>
      </c>
      <c r="C298" s="2" t="s">
        <v>223</v>
      </c>
      <c r="D298" s="1" t="s">
        <v>9</v>
      </c>
      <c r="F298" s="3">
        <f>1548867</f>
        <v>1548867</v>
      </c>
      <c r="G298" s="10">
        <f t="shared" si="5"/>
        <v>14866524</v>
      </c>
    </row>
    <row r="299" spans="1:7" x14ac:dyDescent="0.2">
      <c r="A299" s="13">
        <v>44393</v>
      </c>
      <c r="C299" s="2" t="s">
        <v>228</v>
      </c>
      <c r="D299" s="1" t="s">
        <v>9</v>
      </c>
      <c r="F299" s="3">
        <v>1396000</v>
      </c>
      <c r="G299" s="10">
        <f t="shared" si="5"/>
        <v>13470524</v>
      </c>
    </row>
    <row r="300" spans="1:7" x14ac:dyDescent="0.2">
      <c r="A300" s="13">
        <v>44393</v>
      </c>
      <c r="C300" s="2" t="s">
        <v>227</v>
      </c>
      <c r="D300" s="1" t="s">
        <v>9</v>
      </c>
      <c r="F300" s="3">
        <v>3300</v>
      </c>
      <c r="G300" s="10">
        <f t="shared" si="5"/>
        <v>13467224</v>
      </c>
    </row>
    <row r="301" spans="1:7" x14ac:dyDescent="0.2">
      <c r="A301" s="13">
        <v>44393</v>
      </c>
      <c r="C301" s="2" t="s">
        <v>227</v>
      </c>
      <c r="D301" s="1" t="s">
        <v>9</v>
      </c>
      <c r="F301" s="3">
        <v>3300</v>
      </c>
      <c r="G301" s="10">
        <f t="shared" si="5"/>
        <v>13463924</v>
      </c>
    </row>
    <row r="302" spans="1:7" x14ac:dyDescent="0.2">
      <c r="A302" s="13">
        <v>44393</v>
      </c>
      <c r="C302" s="2" t="s">
        <v>230</v>
      </c>
      <c r="D302" s="1" t="s">
        <v>9</v>
      </c>
      <c r="F302" s="3">
        <v>73110</v>
      </c>
      <c r="G302" s="10">
        <f t="shared" si="5"/>
        <v>13390814</v>
      </c>
    </row>
    <row r="303" spans="1:7" x14ac:dyDescent="0.2">
      <c r="A303" s="13">
        <v>44393</v>
      </c>
      <c r="C303" s="2" t="s">
        <v>227</v>
      </c>
      <c r="D303" s="1" t="s">
        <v>9</v>
      </c>
      <c r="F303" s="3">
        <v>3300</v>
      </c>
      <c r="G303" s="10">
        <f t="shared" si="5"/>
        <v>13387514</v>
      </c>
    </row>
    <row r="304" spans="1:7" x14ac:dyDescent="0.2">
      <c r="A304" s="13">
        <v>44393</v>
      </c>
      <c r="C304" s="2" t="s">
        <v>229</v>
      </c>
      <c r="D304" s="1" t="s">
        <v>9</v>
      </c>
      <c r="F304" s="3">
        <v>62372</v>
      </c>
      <c r="G304" s="10">
        <f t="shared" si="5"/>
        <v>13325142</v>
      </c>
    </row>
    <row r="305" spans="1:7" x14ac:dyDescent="0.2">
      <c r="A305" s="13">
        <v>44393</v>
      </c>
      <c r="C305" s="23" t="s">
        <v>224</v>
      </c>
      <c r="D305" s="1" t="s">
        <v>9</v>
      </c>
      <c r="E305" s="3">
        <v>591000</v>
      </c>
      <c r="G305" s="10">
        <f t="shared" si="5"/>
        <v>13916142</v>
      </c>
    </row>
    <row r="306" spans="1:7" x14ac:dyDescent="0.2">
      <c r="A306" s="13">
        <v>44393</v>
      </c>
      <c r="C306" s="23" t="s">
        <v>226</v>
      </c>
      <c r="D306" s="1" t="s">
        <v>9</v>
      </c>
      <c r="E306" s="3">
        <f>91332+60623+62109+411094+181248+46994</f>
        <v>853400</v>
      </c>
      <c r="G306" s="10">
        <f t="shared" si="5"/>
        <v>14769542</v>
      </c>
    </row>
    <row r="307" spans="1:7" x14ac:dyDescent="0.2">
      <c r="A307" s="13">
        <v>44393</v>
      </c>
      <c r="C307" s="23" t="s">
        <v>225</v>
      </c>
      <c r="D307" s="1" t="s">
        <v>9</v>
      </c>
      <c r="E307" s="3">
        <v>1189042</v>
      </c>
      <c r="G307" s="10">
        <f t="shared" si="5"/>
        <v>15958584</v>
      </c>
    </row>
    <row r="308" spans="1:7" x14ac:dyDescent="0.2">
      <c r="A308" s="13">
        <v>44398</v>
      </c>
      <c r="B308" s="1" t="s">
        <v>236</v>
      </c>
      <c r="C308" s="2" t="s">
        <v>237</v>
      </c>
      <c r="D308" s="1" t="s">
        <v>9</v>
      </c>
      <c r="F308" s="3">
        <v>1219352</v>
      </c>
      <c r="G308" s="10">
        <f t="shared" si="5"/>
        <v>14739232</v>
      </c>
    </row>
    <row r="309" spans="1:7" x14ac:dyDescent="0.2">
      <c r="A309" s="13">
        <v>44398</v>
      </c>
      <c r="C309" s="2" t="s">
        <v>239</v>
      </c>
      <c r="D309" s="1" t="s">
        <v>9</v>
      </c>
      <c r="F309" s="3">
        <v>6600</v>
      </c>
      <c r="G309" s="10">
        <f t="shared" si="5"/>
        <v>14732632</v>
      </c>
    </row>
    <row r="310" spans="1:7" x14ac:dyDescent="0.2">
      <c r="A310" s="13">
        <v>44398</v>
      </c>
      <c r="C310" s="2" t="s">
        <v>239</v>
      </c>
      <c r="D310" s="1" t="s">
        <v>9</v>
      </c>
      <c r="F310" s="3">
        <v>6600</v>
      </c>
      <c r="G310" s="10">
        <f t="shared" si="5"/>
        <v>14726032</v>
      </c>
    </row>
    <row r="311" spans="1:7" x14ac:dyDescent="0.2">
      <c r="A311" s="13">
        <v>44398</v>
      </c>
      <c r="C311" s="2" t="s">
        <v>45</v>
      </c>
      <c r="D311" s="1" t="s">
        <v>9</v>
      </c>
      <c r="E311" s="3">
        <v>698135</v>
      </c>
      <c r="G311" s="10">
        <f t="shared" si="5"/>
        <v>15424167</v>
      </c>
    </row>
    <row r="312" spans="1:7" x14ac:dyDescent="0.2">
      <c r="A312" s="13">
        <v>44398</v>
      </c>
      <c r="C312" s="2" t="s">
        <v>116</v>
      </c>
      <c r="D312" s="1" t="s">
        <v>9</v>
      </c>
      <c r="E312" s="3">
        <v>462560</v>
      </c>
      <c r="G312" s="10">
        <f t="shared" si="5"/>
        <v>15886727</v>
      </c>
    </row>
    <row r="313" spans="1:7" x14ac:dyDescent="0.2">
      <c r="A313" s="13">
        <v>44398</v>
      </c>
      <c r="C313" s="2" t="s">
        <v>232</v>
      </c>
      <c r="D313" s="1" t="s">
        <v>9</v>
      </c>
      <c r="F313" s="3">
        <f>5117698+139490</f>
        <v>5257188</v>
      </c>
      <c r="G313" s="10">
        <f t="shared" si="5"/>
        <v>10629539</v>
      </c>
    </row>
    <row r="314" spans="1:7" x14ac:dyDescent="0.2">
      <c r="A314" s="13">
        <v>44398</v>
      </c>
      <c r="B314" s="1" t="s">
        <v>233</v>
      </c>
      <c r="C314" s="2" t="s">
        <v>261</v>
      </c>
      <c r="D314" s="1" t="s">
        <v>9</v>
      </c>
      <c r="G314" s="10">
        <f t="shared" si="5"/>
        <v>10629539</v>
      </c>
    </row>
    <row r="315" spans="1:7" x14ac:dyDescent="0.2">
      <c r="A315" s="13">
        <v>44398</v>
      </c>
      <c r="B315" s="1" t="s">
        <v>235</v>
      </c>
      <c r="C315" s="2" t="s">
        <v>234</v>
      </c>
      <c r="D315" s="1" t="s">
        <v>9</v>
      </c>
      <c r="F315" s="3">
        <v>270000</v>
      </c>
      <c r="G315" s="10">
        <f t="shared" si="5"/>
        <v>10359539</v>
      </c>
    </row>
    <row r="316" spans="1:7" x14ac:dyDescent="0.2">
      <c r="A316" s="13">
        <v>44398</v>
      </c>
      <c r="B316" s="1" t="s">
        <v>238</v>
      </c>
      <c r="C316" s="2" t="s">
        <v>99</v>
      </c>
      <c r="D316" s="1" t="s">
        <v>9</v>
      </c>
      <c r="F316" s="3">
        <v>878194</v>
      </c>
      <c r="G316" s="10">
        <f t="shared" si="5"/>
        <v>9481345</v>
      </c>
    </row>
    <row r="317" spans="1:7" x14ac:dyDescent="0.2">
      <c r="A317" s="13">
        <v>44400</v>
      </c>
      <c r="C317" s="2" t="s">
        <v>15</v>
      </c>
      <c r="D317" s="1" t="s">
        <v>9</v>
      </c>
      <c r="E317" s="3">
        <v>1845205</v>
      </c>
      <c r="G317" s="10">
        <f t="shared" si="5"/>
        <v>11326550</v>
      </c>
    </row>
    <row r="318" spans="1:7" x14ac:dyDescent="0.2">
      <c r="A318" s="13">
        <v>44403</v>
      </c>
      <c r="C318" s="2" t="s">
        <v>27</v>
      </c>
      <c r="D318" s="1" t="s">
        <v>9</v>
      </c>
      <c r="F318" s="3">
        <v>500000</v>
      </c>
      <c r="G318" s="10">
        <f t="shared" si="5"/>
        <v>10826550</v>
      </c>
    </row>
    <row r="319" spans="1:7" x14ac:dyDescent="0.2">
      <c r="A319" s="13">
        <v>44404</v>
      </c>
      <c r="C319" s="2" t="s">
        <v>35</v>
      </c>
      <c r="D319" s="1" t="s">
        <v>9</v>
      </c>
      <c r="F319" s="3">
        <v>6600</v>
      </c>
      <c r="G319" s="10">
        <f t="shared" si="5"/>
        <v>10819950</v>
      </c>
    </row>
    <row r="320" spans="1:7" x14ac:dyDescent="0.2">
      <c r="A320" s="13">
        <v>44404</v>
      </c>
      <c r="C320" s="2" t="s">
        <v>217</v>
      </c>
      <c r="D320" s="1" t="s">
        <v>9</v>
      </c>
      <c r="E320" s="3">
        <v>94832</v>
      </c>
      <c r="G320" s="10">
        <f t="shared" si="5"/>
        <v>10914782</v>
      </c>
    </row>
    <row r="321" spans="1:7" x14ac:dyDescent="0.2">
      <c r="A321" s="13">
        <v>44404</v>
      </c>
      <c r="C321" s="2" t="s">
        <v>250</v>
      </c>
      <c r="D321" s="1" t="s">
        <v>9</v>
      </c>
      <c r="E321" s="3">
        <v>711696</v>
      </c>
      <c r="G321" s="10">
        <f t="shared" si="5"/>
        <v>11626478</v>
      </c>
    </row>
    <row r="322" spans="1:7" x14ac:dyDescent="0.2">
      <c r="A322" s="13">
        <v>44404</v>
      </c>
      <c r="C322" s="2" t="s">
        <v>251</v>
      </c>
      <c r="D322" s="1" t="s">
        <v>9</v>
      </c>
      <c r="E322" s="3">
        <v>183750</v>
      </c>
      <c r="G322" s="10">
        <f t="shared" si="5"/>
        <v>11810228</v>
      </c>
    </row>
    <row r="323" spans="1:7" x14ac:dyDescent="0.2">
      <c r="A323" s="13">
        <v>44405</v>
      </c>
      <c r="C323" s="2" t="s">
        <v>248</v>
      </c>
      <c r="D323" s="1" t="s">
        <v>9</v>
      </c>
      <c r="E323" s="3">
        <f>628140+197444+71083</f>
        <v>896667</v>
      </c>
      <c r="G323" s="10">
        <f t="shared" si="5"/>
        <v>12706895</v>
      </c>
    </row>
    <row r="324" spans="1:7" x14ac:dyDescent="0.2">
      <c r="A324" s="13">
        <v>44405</v>
      </c>
      <c r="C324" s="2" t="s">
        <v>249</v>
      </c>
      <c r="D324" s="1" t="s">
        <v>9</v>
      </c>
      <c r="E324" s="3">
        <f>160480+566315+7593</f>
        <v>734388</v>
      </c>
      <c r="G324" s="10">
        <f t="shared" si="5"/>
        <v>13441283</v>
      </c>
    </row>
    <row r="325" spans="1:7" x14ac:dyDescent="0.2">
      <c r="A325" s="13">
        <v>44406</v>
      </c>
      <c r="C325" s="2" t="s">
        <v>252</v>
      </c>
      <c r="D325" s="1" t="s">
        <v>9</v>
      </c>
      <c r="F325" s="3">
        <f>475746</f>
        <v>475746</v>
      </c>
      <c r="G325" s="10">
        <f t="shared" si="5"/>
        <v>12965537</v>
      </c>
    </row>
    <row r="326" spans="1:7" x14ac:dyDescent="0.2">
      <c r="A326" s="13">
        <v>44406</v>
      </c>
      <c r="C326" s="2" t="s">
        <v>199</v>
      </c>
      <c r="D326" s="1" t="s">
        <v>9</v>
      </c>
      <c r="E326" s="3">
        <v>1300100</v>
      </c>
      <c r="G326" s="10">
        <f t="shared" si="5"/>
        <v>14265637</v>
      </c>
    </row>
    <row r="327" spans="1:7" x14ac:dyDescent="0.2">
      <c r="A327" s="13">
        <v>44406</v>
      </c>
      <c r="C327" s="2" t="s">
        <v>253</v>
      </c>
      <c r="D327" s="1" t="s">
        <v>9</v>
      </c>
      <c r="F327" s="3">
        <v>100</v>
      </c>
      <c r="G327" s="10">
        <f t="shared" si="5"/>
        <v>14265537</v>
      </c>
    </row>
    <row r="328" spans="1:7" x14ac:dyDescent="0.2">
      <c r="A328" s="13">
        <v>44407</v>
      </c>
      <c r="C328" s="2" t="s">
        <v>190</v>
      </c>
      <c r="D328" s="1" t="s">
        <v>9</v>
      </c>
      <c r="F328" s="3">
        <v>2352884</v>
      </c>
      <c r="G328" s="10">
        <f t="shared" si="5"/>
        <v>11912653</v>
      </c>
    </row>
    <row r="329" spans="1:7" x14ac:dyDescent="0.2">
      <c r="A329" s="13">
        <v>44407</v>
      </c>
      <c r="C329" s="2" t="s">
        <v>34</v>
      </c>
      <c r="D329" s="1" t="s">
        <v>9</v>
      </c>
      <c r="F329" s="3">
        <v>1238</v>
      </c>
      <c r="G329" s="10">
        <f t="shared" si="5"/>
        <v>11911415</v>
      </c>
    </row>
    <row r="330" spans="1:7" x14ac:dyDescent="0.2">
      <c r="A330" s="13">
        <v>44407</v>
      </c>
      <c r="C330" s="2" t="s">
        <v>254</v>
      </c>
      <c r="D330" s="1" t="s">
        <v>9</v>
      </c>
      <c r="F330" s="3">
        <v>52436</v>
      </c>
      <c r="G330" s="10">
        <f t="shared" si="5"/>
        <v>11858979</v>
      </c>
    </row>
    <row r="331" spans="1:7" ht="15.75" x14ac:dyDescent="0.25">
      <c r="A331" s="11" t="s">
        <v>269</v>
      </c>
    </row>
    <row r="332" spans="1:7" x14ac:dyDescent="0.2">
      <c r="A332" s="12" t="s">
        <v>2</v>
      </c>
      <c r="B332" s="5" t="s">
        <v>1</v>
      </c>
      <c r="C332" s="5" t="s">
        <v>3</v>
      </c>
      <c r="D332" s="5"/>
      <c r="E332" s="8" t="s">
        <v>4</v>
      </c>
      <c r="F332" s="8" t="s">
        <v>6</v>
      </c>
      <c r="G332" s="9" t="s">
        <v>5</v>
      </c>
    </row>
    <row r="333" spans="1:7" x14ac:dyDescent="0.2">
      <c r="A333" s="13">
        <v>44410</v>
      </c>
      <c r="C333" s="2" t="s">
        <v>74</v>
      </c>
      <c r="D333" s="1" t="s">
        <v>9</v>
      </c>
      <c r="E333" s="3">
        <v>645366</v>
      </c>
      <c r="G333" s="10">
        <f>G330+E333-F333</f>
        <v>12504345</v>
      </c>
    </row>
    <row r="334" spans="1:7" x14ac:dyDescent="0.2">
      <c r="A334" s="13">
        <v>44410</v>
      </c>
      <c r="C334" s="2" t="s">
        <v>255</v>
      </c>
      <c r="D334" s="1" t="s">
        <v>9</v>
      </c>
      <c r="E334" s="3">
        <v>1141736</v>
      </c>
      <c r="G334" s="10">
        <f t="shared" si="5"/>
        <v>13646081</v>
      </c>
    </row>
    <row r="335" spans="1:7" x14ac:dyDescent="0.2">
      <c r="A335" s="13">
        <v>44410</v>
      </c>
      <c r="C335" s="2" t="s">
        <v>910</v>
      </c>
      <c r="D335" s="1" t="s">
        <v>9</v>
      </c>
      <c r="E335" s="3">
        <f>87656+102000+600000</f>
        <v>789656</v>
      </c>
      <c r="G335" s="10">
        <f t="shared" si="5"/>
        <v>14435737</v>
      </c>
    </row>
    <row r="336" spans="1:7" x14ac:dyDescent="0.2">
      <c r="A336" s="13">
        <v>44411</v>
      </c>
      <c r="C336" s="2" t="s">
        <v>84</v>
      </c>
      <c r="D336" s="1" t="s">
        <v>9</v>
      </c>
      <c r="F336" s="3">
        <v>487589</v>
      </c>
      <c r="G336" s="10">
        <f t="shared" si="5"/>
        <v>13948148</v>
      </c>
    </row>
    <row r="337" spans="1:7" x14ac:dyDescent="0.2">
      <c r="A337" s="13">
        <v>44412</v>
      </c>
      <c r="C337" s="2" t="s">
        <v>256</v>
      </c>
      <c r="D337" s="1" t="s">
        <v>9</v>
      </c>
      <c r="F337" s="3">
        <f>1331389</f>
        <v>1331389</v>
      </c>
      <c r="G337" s="10">
        <f t="shared" si="5"/>
        <v>12616759</v>
      </c>
    </row>
    <row r="338" spans="1:7" x14ac:dyDescent="0.2">
      <c r="A338" s="13">
        <v>44412</v>
      </c>
      <c r="C338" s="2" t="s">
        <v>21</v>
      </c>
      <c r="D338" s="1" t="s">
        <v>9</v>
      </c>
      <c r="E338" s="3">
        <v>1400013</v>
      </c>
      <c r="G338" s="10">
        <f t="shared" si="5"/>
        <v>14016772</v>
      </c>
    </row>
    <row r="339" spans="1:7" x14ac:dyDescent="0.2">
      <c r="A339" s="13">
        <v>44414</v>
      </c>
      <c r="C339" s="2" t="s">
        <v>257</v>
      </c>
      <c r="D339" s="1" t="s">
        <v>9</v>
      </c>
      <c r="F339" s="3">
        <f>4753006</f>
        <v>4753006</v>
      </c>
      <c r="G339" s="10">
        <f t="shared" si="5"/>
        <v>9263766</v>
      </c>
    </row>
    <row r="340" spans="1:7" x14ac:dyDescent="0.2">
      <c r="A340" s="13">
        <v>44414</v>
      </c>
      <c r="C340" s="2" t="s">
        <v>259</v>
      </c>
      <c r="D340" s="1" t="s">
        <v>9</v>
      </c>
      <c r="E340" s="3">
        <v>1354955</v>
      </c>
      <c r="G340" s="10">
        <f t="shared" si="5"/>
        <v>10618721</v>
      </c>
    </row>
    <row r="341" spans="1:7" x14ac:dyDescent="0.2">
      <c r="A341" s="21">
        <v>44414</v>
      </c>
      <c r="B341" s="22"/>
      <c r="C341" s="23" t="s">
        <v>56</v>
      </c>
      <c r="D341" s="22" t="s">
        <v>9</v>
      </c>
      <c r="E341" s="24">
        <v>80400</v>
      </c>
      <c r="F341" s="24"/>
      <c r="G341" s="10">
        <f t="shared" si="5"/>
        <v>10699121</v>
      </c>
    </row>
    <row r="342" spans="1:7" x14ac:dyDescent="0.2">
      <c r="A342" s="21">
        <v>44414</v>
      </c>
      <c r="B342" s="22"/>
      <c r="C342" s="23" t="s">
        <v>55</v>
      </c>
      <c r="D342" s="22" t="s">
        <v>9</v>
      </c>
      <c r="E342" s="24">
        <v>316562</v>
      </c>
      <c r="F342" s="24"/>
      <c r="G342" s="10">
        <f t="shared" si="5"/>
        <v>11015683</v>
      </c>
    </row>
    <row r="343" spans="1:7" x14ac:dyDescent="0.2">
      <c r="A343" s="21">
        <v>44414</v>
      </c>
      <c r="B343" s="22"/>
      <c r="C343" s="23" t="s">
        <v>277</v>
      </c>
      <c r="D343" s="22" t="s">
        <v>9</v>
      </c>
      <c r="E343" s="24">
        <v>7788</v>
      </c>
      <c r="F343" s="24"/>
      <c r="G343" s="10">
        <f t="shared" si="5"/>
        <v>11023471</v>
      </c>
    </row>
    <row r="344" spans="1:7" x14ac:dyDescent="0.2">
      <c r="A344" s="21">
        <v>44414</v>
      </c>
      <c r="B344" s="22"/>
      <c r="C344" s="23" t="s">
        <v>278</v>
      </c>
      <c r="D344" s="22" t="s">
        <v>9</v>
      </c>
      <c r="E344" s="24">
        <v>18940</v>
      </c>
      <c r="F344" s="24"/>
      <c r="G344" s="10">
        <f t="shared" si="5"/>
        <v>11042411</v>
      </c>
    </row>
    <row r="345" spans="1:7" x14ac:dyDescent="0.2">
      <c r="A345" s="21">
        <v>44414</v>
      </c>
      <c r="B345" s="22"/>
      <c r="C345" s="23" t="s">
        <v>279</v>
      </c>
      <c r="D345" s="22" t="s">
        <v>9</v>
      </c>
      <c r="E345" s="24">
        <v>2171</v>
      </c>
      <c r="F345" s="24"/>
      <c r="G345" s="10">
        <f t="shared" si="5"/>
        <v>11044582</v>
      </c>
    </row>
    <row r="346" spans="1:7" x14ac:dyDescent="0.2">
      <c r="A346" s="13">
        <v>44417</v>
      </c>
      <c r="C346" s="2" t="s">
        <v>258</v>
      </c>
      <c r="D346" s="1" t="s">
        <v>9</v>
      </c>
      <c r="E346" s="3">
        <v>414971</v>
      </c>
      <c r="G346" s="10">
        <f t="shared" si="5"/>
        <v>11459553</v>
      </c>
    </row>
    <row r="347" spans="1:7" x14ac:dyDescent="0.2">
      <c r="A347" s="13">
        <v>44418</v>
      </c>
      <c r="C347" s="2" t="s">
        <v>240</v>
      </c>
      <c r="D347" s="1" t="s">
        <v>9</v>
      </c>
      <c r="F347" s="3">
        <f>1530000+275</f>
        <v>1530275</v>
      </c>
      <c r="G347" s="10">
        <f t="shared" si="5"/>
        <v>9929278</v>
      </c>
    </row>
    <row r="348" spans="1:7" x14ac:dyDescent="0.2">
      <c r="A348" s="13">
        <v>44418</v>
      </c>
      <c r="C348" s="2" t="s">
        <v>241</v>
      </c>
      <c r="D348" s="1" t="s">
        <v>9</v>
      </c>
      <c r="F348" s="3">
        <f>151093+275</f>
        <v>151368</v>
      </c>
      <c r="G348" s="10">
        <f t="shared" si="5"/>
        <v>9777910</v>
      </c>
    </row>
    <row r="349" spans="1:7" x14ac:dyDescent="0.2">
      <c r="A349" s="13">
        <v>44418</v>
      </c>
      <c r="C349" s="2" t="s">
        <v>242</v>
      </c>
      <c r="D349" s="1" t="s">
        <v>9</v>
      </c>
      <c r="F349" s="3">
        <f>98235+275</f>
        <v>98510</v>
      </c>
      <c r="G349" s="10">
        <f t="shared" si="5"/>
        <v>9679400</v>
      </c>
    </row>
    <row r="350" spans="1:7" x14ac:dyDescent="0.2">
      <c r="A350" s="13">
        <v>44418</v>
      </c>
      <c r="C350" s="2" t="s">
        <v>243</v>
      </c>
      <c r="D350" s="1" t="s">
        <v>9</v>
      </c>
      <c r="F350" s="3">
        <f>829430</f>
        <v>829430</v>
      </c>
      <c r="G350" s="10">
        <f t="shared" si="5"/>
        <v>8849970</v>
      </c>
    </row>
    <row r="351" spans="1:7" x14ac:dyDescent="0.2">
      <c r="A351" s="13">
        <v>44418</v>
      </c>
      <c r="C351" s="2" t="s">
        <v>244</v>
      </c>
      <c r="D351" s="1" t="s">
        <v>9</v>
      </c>
      <c r="F351" s="3">
        <f>330725</f>
        <v>330725</v>
      </c>
      <c r="G351" s="10">
        <f t="shared" si="5"/>
        <v>8519245</v>
      </c>
    </row>
    <row r="352" spans="1:7" x14ac:dyDescent="0.2">
      <c r="A352" s="13">
        <v>44418</v>
      </c>
      <c r="C352" s="2" t="s">
        <v>245</v>
      </c>
      <c r="D352" s="1" t="s">
        <v>9</v>
      </c>
      <c r="F352" s="3">
        <f>678500</f>
        <v>678500</v>
      </c>
      <c r="G352" s="10">
        <f t="shared" si="5"/>
        <v>7840745</v>
      </c>
    </row>
    <row r="353" spans="1:7" x14ac:dyDescent="0.2">
      <c r="A353" s="13">
        <v>44418</v>
      </c>
      <c r="C353" s="2" t="s">
        <v>246</v>
      </c>
      <c r="D353" s="1" t="s">
        <v>9</v>
      </c>
      <c r="F353" s="3">
        <f>691492+275</f>
        <v>691767</v>
      </c>
      <c r="G353" s="10">
        <f t="shared" si="5"/>
        <v>7148978</v>
      </c>
    </row>
    <row r="354" spans="1:7" x14ac:dyDescent="0.2">
      <c r="A354" s="13">
        <v>44418</v>
      </c>
      <c r="C354" s="2" t="s">
        <v>203</v>
      </c>
      <c r="D354" s="1" t="s">
        <v>9</v>
      </c>
      <c r="F354" s="3">
        <f>500000</f>
        <v>500000</v>
      </c>
      <c r="G354" s="10">
        <f t="shared" si="5"/>
        <v>6648978</v>
      </c>
    </row>
    <row r="355" spans="1:7" x14ac:dyDescent="0.2">
      <c r="A355" s="13">
        <v>44418</v>
      </c>
      <c r="C355" s="2" t="s">
        <v>247</v>
      </c>
      <c r="D355" s="1" t="s">
        <v>9</v>
      </c>
      <c r="F355" s="3">
        <f>380750+275</f>
        <v>381025</v>
      </c>
      <c r="G355" s="10">
        <f t="shared" si="5"/>
        <v>6267953</v>
      </c>
    </row>
    <row r="356" spans="1:7" x14ac:dyDescent="0.2">
      <c r="A356" s="13">
        <v>44418</v>
      </c>
      <c r="C356" s="2" t="s">
        <v>201</v>
      </c>
      <c r="D356" s="1" t="s">
        <v>9</v>
      </c>
      <c r="E356" s="3">
        <v>178694</v>
      </c>
      <c r="G356" s="10">
        <f t="shared" si="5"/>
        <v>6446647</v>
      </c>
    </row>
    <row r="357" spans="1:7" x14ac:dyDescent="0.2">
      <c r="A357" s="13">
        <v>44418</v>
      </c>
      <c r="C357" s="2" t="s">
        <v>18</v>
      </c>
      <c r="D357" s="1" t="s">
        <v>9</v>
      </c>
      <c r="E357" s="3">
        <v>101805</v>
      </c>
      <c r="G357" s="10">
        <f t="shared" si="5"/>
        <v>6548452</v>
      </c>
    </row>
    <row r="358" spans="1:7" x14ac:dyDescent="0.2">
      <c r="A358" s="13">
        <v>44418</v>
      </c>
      <c r="B358" s="1" t="s">
        <v>263</v>
      </c>
      <c r="C358" s="2" t="s">
        <v>234</v>
      </c>
      <c r="D358" s="1" t="s">
        <v>9</v>
      </c>
      <c r="F358" s="3">
        <v>270000</v>
      </c>
      <c r="G358" s="10">
        <f t="shared" si="5"/>
        <v>6278452</v>
      </c>
    </row>
    <row r="359" spans="1:7" x14ac:dyDescent="0.2">
      <c r="A359" s="21">
        <v>44419</v>
      </c>
      <c r="B359" s="22"/>
      <c r="C359" s="23" t="s">
        <v>276</v>
      </c>
      <c r="D359" s="22" t="s">
        <v>9</v>
      </c>
      <c r="E359" s="24">
        <v>804146</v>
      </c>
      <c r="F359" s="24"/>
      <c r="G359" s="10">
        <f t="shared" si="5"/>
        <v>7082598</v>
      </c>
    </row>
    <row r="360" spans="1:7" x14ac:dyDescent="0.2">
      <c r="A360" s="13">
        <v>44421</v>
      </c>
      <c r="C360" s="2" t="s">
        <v>35</v>
      </c>
      <c r="D360" s="1" t="s">
        <v>9</v>
      </c>
      <c r="F360" s="3">
        <v>6600</v>
      </c>
      <c r="G360" s="10">
        <f t="shared" ref="G360:G425" si="6">G359+E360-F360</f>
        <v>7075998</v>
      </c>
    </row>
    <row r="361" spans="1:7" x14ac:dyDescent="0.2">
      <c r="A361" s="13">
        <v>44421</v>
      </c>
      <c r="C361" s="2" t="s">
        <v>35</v>
      </c>
      <c r="D361" s="1" t="s">
        <v>9</v>
      </c>
      <c r="F361" s="3">
        <v>6600</v>
      </c>
      <c r="G361" s="10">
        <f t="shared" si="6"/>
        <v>7069398</v>
      </c>
    </row>
    <row r="362" spans="1:7" x14ac:dyDescent="0.2">
      <c r="A362" s="13">
        <v>44421</v>
      </c>
      <c r="C362" s="2" t="s">
        <v>116</v>
      </c>
      <c r="D362" s="1" t="s">
        <v>9</v>
      </c>
      <c r="E362" s="3">
        <v>128497</v>
      </c>
      <c r="G362" s="10">
        <f t="shared" si="6"/>
        <v>7197895</v>
      </c>
    </row>
    <row r="363" spans="1:7" x14ac:dyDescent="0.2">
      <c r="A363" s="21">
        <v>44424</v>
      </c>
      <c r="B363" s="22"/>
      <c r="C363" s="23" t="s">
        <v>274</v>
      </c>
      <c r="D363" s="22" t="s">
        <v>9</v>
      </c>
      <c r="E363" s="24">
        <f>478608+170971</f>
        <v>649579</v>
      </c>
      <c r="F363" s="24"/>
      <c r="G363" s="10">
        <f t="shared" si="6"/>
        <v>7847474</v>
      </c>
    </row>
    <row r="364" spans="1:7" x14ac:dyDescent="0.2">
      <c r="A364" s="21">
        <v>44424</v>
      </c>
      <c r="B364" s="22"/>
      <c r="C364" s="23" t="s">
        <v>275</v>
      </c>
      <c r="D364" s="22" t="s">
        <v>9</v>
      </c>
      <c r="E364" s="24">
        <f>244968+26500+32036+76228</f>
        <v>379732</v>
      </c>
      <c r="F364" s="24"/>
      <c r="G364" s="10">
        <f t="shared" si="6"/>
        <v>8227206</v>
      </c>
    </row>
    <row r="365" spans="1:7" x14ac:dyDescent="0.2">
      <c r="A365" s="13">
        <v>44427</v>
      </c>
      <c r="C365" s="2" t="s">
        <v>18</v>
      </c>
      <c r="D365" s="1" t="s">
        <v>9</v>
      </c>
      <c r="E365" s="3">
        <v>16550</v>
      </c>
      <c r="G365" s="10">
        <f t="shared" si="6"/>
        <v>8243756</v>
      </c>
    </row>
    <row r="366" spans="1:7" x14ac:dyDescent="0.2">
      <c r="A366" s="13">
        <v>44427</v>
      </c>
      <c r="C366" s="2" t="s">
        <v>18</v>
      </c>
      <c r="D366" s="1" t="s">
        <v>9</v>
      </c>
      <c r="E366" s="3">
        <v>205320</v>
      </c>
      <c r="G366" s="10">
        <f t="shared" si="6"/>
        <v>8449076</v>
      </c>
    </row>
    <row r="367" spans="1:7" x14ac:dyDescent="0.2">
      <c r="A367" s="21">
        <v>44431</v>
      </c>
      <c r="B367" s="22"/>
      <c r="C367" s="23" t="s">
        <v>273</v>
      </c>
      <c r="D367" s="22" t="s">
        <v>9</v>
      </c>
      <c r="E367" s="24">
        <f>143526+149122+188800+229687</f>
        <v>711135</v>
      </c>
      <c r="F367" s="24"/>
      <c r="G367" s="10">
        <f t="shared" si="6"/>
        <v>9160211</v>
      </c>
    </row>
    <row r="368" spans="1:7" x14ac:dyDescent="0.2">
      <c r="A368" s="13">
        <v>44431</v>
      </c>
      <c r="C368" s="2" t="s">
        <v>76</v>
      </c>
      <c r="D368" s="1" t="s">
        <v>9</v>
      </c>
      <c r="E368" s="3">
        <v>51920</v>
      </c>
      <c r="G368" s="10">
        <f t="shared" si="6"/>
        <v>9212131</v>
      </c>
    </row>
    <row r="369" spans="1:9" x14ac:dyDescent="0.2">
      <c r="A369" s="13">
        <v>44431</v>
      </c>
      <c r="C369" s="2" t="s">
        <v>21</v>
      </c>
      <c r="D369" s="1" t="s">
        <v>9</v>
      </c>
      <c r="E369" s="3">
        <v>469675</v>
      </c>
      <c r="G369" s="10">
        <f t="shared" si="6"/>
        <v>9681806</v>
      </c>
    </row>
    <row r="370" spans="1:9" x14ac:dyDescent="0.2">
      <c r="A370" s="13">
        <v>44432</v>
      </c>
      <c r="C370" s="2" t="s">
        <v>260</v>
      </c>
      <c r="D370" s="1" t="s">
        <v>9</v>
      </c>
      <c r="E370" s="3">
        <v>49600</v>
      </c>
      <c r="G370" s="10">
        <f t="shared" si="6"/>
        <v>9731406</v>
      </c>
    </row>
    <row r="371" spans="1:9" x14ac:dyDescent="0.2">
      <c r="A371" s="21">
        <v>44433</v>
      </c>
      <c r="B371" s="22"/>
      <c r="C371" s="23" t="s">
        <v>271</v>
      </c>
      <c r="D371" s="22" t="s">
        <v>9</v>
      </c>
      <c r="E371" s="24">
        <f>261733+1006500+72216+570825+23364+182735+11505</f>
        <v>2128878</v>
      </c>
      <c r="F371" s="24"/>
      <c r="G371" s="10">
        <f t="shared" si="6"/>
        <v>11860284</v>
      </c>
    </row>
    <row r="372" spans="1:9" x14ac:dyDescent="0.2">
      <c r="A372" s="13">
        <v>44435</v>
      </c>
      <c r="C372" s="2" t="s">
        <v>262</v>
      </c>
      <c r="D372" s="1" t="s">
        <v>9</v>
      </c>
      <c r="F372" s="3">
        <v>3778674</v>
      </c>
      <c r="G372" s="10">
        <f t="shared" si="6"/>
        <v>8081610</v>
      </c>
    </row>
    <row r="373" spans="1:9" x14ac:dyDescent="0.2">
      <c r="A373" s="13">
        <v>44435</v>
      </c>
      <c r="C373" s="2" t="s">
        <v>227</v>
      </c>
      <c r="D373" s="1" t="s">
        <v>9</v>
      </c>
      <c r="F373" s="3">
        <v>3300</v>
      </c>
      <c r="G373" s="10">
        <f t="shared" si="6"/>
        <v>8078310</v>
      </c>
    </row>
    <row r="374" spans="1:9" x14ac:dyDescent="0.2">
      <c r="A374" s="13">
        <v>44439</v>
      </c>
      <c r="C374" s="2" t="s">
        <v>267</v>
      </c>
      <c r="D374" s="1" t="s">
        <v>9</v>
      </c>
      <c r="F374" s="3">
        <v>34473</v>
      </c>
      <c r="G374" s="10">
        <f t="shared" si="6"/>
        <v>8043837</v>
      </c>
    </row>
    <row r="375" spans="1:9" x14ac:dyDescent="0.2">
      <c r="A375" s="13">
        <v>44439</v>
      </c>
      <c r="C375" s="2" t="s">
        <v>52</v>
      </c>
      <c r="D375" s="1" t="s">
        <v>9</v>
      </c>
      <c r="E375" s="3">
        <v>900000</v>
      </c>
      <c r="G375" s="10">
        <f t="shared" si="6"/>
        <v>8943837</v>
      </c>
    </row>
    <row r="376" spans="1:9" x14ac:dyDescent="0.2">
      <c r="A376" s="13">
        <v>44439</v>
      </c>
      <c r="C376" s="2" t="s">
        <v>53</v>
      </c>
      <c r="D376" s="1" t="s">
        <v>9</v>
      </c>
      <c r="F376" s="3">
        <v>100</v>
      </c>
      <c r="G376" s="10">
        <f t="shared" si="6"/>
        <v>8943737</v>
      </c>
    </row>
    <row r="377" spans="1:9" x14ac:dyDescent="0.2">
      <c r="A377" s="21">
        <v>44439</v>
      </c>
      <c r="B377" s="22"/>
      <c r="C377" s="23" t="s">
        <v>272</v>
      </c>
      <c r="D377" s="22" t="s">
        <v>9</v>
      </c>
      <c r="E377" s="24">
        <f>164468+78736+34515+161424</f>
        <v>439143</v>
      </c>
      <c r="F377" s="24"/>
      <c r="G377" s="10">
        <f t="shared" si="6"/>
        <v>9382880</v>
      </c>
      <c r="I377" s="25">
        <v>10006880</v>
      </c>
    </row>
    <row r="378" spans="1:9" x14ac:dyDescent="0.2">
      <c r="A378" s="13">
        <v>44439</v>
      </c>
      <c r="C378" s="2" t="s">
        <v>268</v>
      </c>
      <c r="D378" s="1" t="s">
        <v>9</v>
      </c>
      <c r="E378" s="3">
        <v>354000</v>
      </c>
      <c r="G378" s="10">
        <f t="shared" si="6"/>
        <v>9736880</v>
      </c>
      <c r="I378" s="10">
        <f>I377-F358</f>
        <v>9736880</v>
      </c>
    </row>
    <row r="379" spans="1:9" ht="15.75" x14ac:dyDescent="0.25">
      <c r="A379" s="11" t="s">
        <v>270</v>
      </c>
    </row>
    <row r="380" spans="1:9" x14ac:dyDescent="0.2">
      <c r="A380" s="12" t="s">
        <v>2</v>
      </c>
      <c r="B380" s="5" t="s">
        <v>1</v>
      </c>
      <c r="C380" s="5" t="s">
        <v>3</v>
      </c>
      <c r="D380" s="5"/>
      <c r="E380" s="8" t="s">
        <v>4</v>
      </c>
      <c r="F380" s="8" t="s">
        <v>6</v>
      </c>
      <c r="G380" s="9" t="s">
        <v>5</v>
      </c>
    </row>
    <row r="381" spans="1:9" x14ac:dyDescent="0.2">
      <c r="A381" s="13">
        <v>44440</v>
      </c>
      <c r="C381" s="2" t="s">
        <v>264</v>
      </c>
      <c r="D381" s="1" t="s">
        <v>9</v>
      </c>
      <c r="F381" s="3">
        <f>2058550</f>
        <v>2058550</v>
      </c>
      <c r="G381" s="10">
        <f>G378+E381-F381</f>
        <v>7678330</v>
      </c>
    </row>
    <row r="382" spans="1:9" x14ac:dyDescent="0.2">
      <c r="A382" s="13">
        <v>44440</v>
      </c>
      <c r="C382" s="2" t="s">
        <v>34</v>
      </c>
      <c r="D382" s="1" t="s">
        <v>9</v>
      </c>
      <c r="F382" s="3">
        <v>1100</v>
      </c>
      <c r="G382" s="10">
        <f t="shared" si="6"/>
        <v>7677230</v>
      </c>
    </row>
    <row r="383" spans="1:9" x14ac:dyDescent="0.2">
      <c r="A383" s="13">
        <v>44441</v>
      </c>
      <c r="C383" s="2" t="s">
        <v>265</v>
      </c>
      <c r="D383" s="1" t="s">
        <v>9</v>
      </c>
      <c r="F383" s="3">
        <f>3815339</f>
        <v>3815339</v>
      </c>
      <c r="G383" s="10">
        <f t="shared" si="6"/>
        <v>3861891</v>
      </c>
    </row>
    <row r="384" spans="1:9" x14ac:dyDescent="0.2">
      <c r="A384" s="13">
        <v>44441</v>
      </c>
      <c r="C384" s="2" t="s">
        <v>266</v>
      </c>
      <c r="D384" s="1" t="s">
        <v>9</v>
      </c>
      <c r="F384" s="3">
        <f>1816873</f>
        <v>1816873</v>
      </c>
      <c r="G384" s="10">
        <f t="shared" si="6"/>
        <v>2045018</v>
      </c>
    </row>
    <row r="385" spans="1:7" x14ac:dyDescent="0.2">
      <c r="A385" s="13">
        <v>44445</v>
      </c>
      <c r="C385" s="23" t="s">
        <v>281</v>
      </c>
      <c r="D385" s="1" t="s">
        <v>9</v>
      </c>
      <c r="E385" s="3">
        <v>142677</v>
      </c>
      <c r="G385" s="10">
        <f t="shared" si="6"/>
        <v>2187695</v>
      </c>
    </row>
    <row r="386" spans="1:7" x14ac:dyDescent="0.2">
      <c r="A386" s="13">
        <v>44445</v>
      </c>
      <c r="C386" s="23" t="s">
        <v>280</v>
      </c>
      <c r="D386" s="1" t="s">
        <v>9</v>
      </c>
      <c r="E386" s="3">
        <f>308424+115476</f>
        <v>423900</v>
      </c>
      <c r="G386" s="10">
        <f t="shared" si="6"/>
        <v>2611595</v>
      </c>
    </row>
    <row r="387" spans="1:7" x14ac:dyDescent="0.2">
      <c r="A387" s="13">
        <v>44445</v>
      </c>
      <c r="C387" s="23" t="s">
        <v>282</v>
      </c>
      <c r="D387" s="1" t="s">
        <v>9</v>
      </c>
      <c r="E387" s="3">
        <v>99828</v>
      </c>
      <c r="G387" s="10">
        <f t="shared" si="6"/>
        <v>2711423</v>
      </c>
    </row>
    <row r="388" spans="1:7" x14ac:dyDescent="0.2">
      <c r="A388" s="13">
        <v>44445</v>
      </c>
      <c r="C388" s="2" t="s">
        <v>84</v>
      </c>
      <c r="D388" s="1" t="s">
        <v>9</v>
      </c>
      <c r="F388" s="3">
        <v>487589</v>
      </c>
      <c r="G388" s="10">
        <f t="shared" si="6"/>
        <v>2223834</v>
      </c>
    </row>
    <row r="389" spans="1:7" x14ac:dyDescent="0.2">
      <c r="A389" s="13">
        <v>44445</v>
      </c>
      <c r="C389" s="23" t="s">
        <v>283</v>
      </c>
      <c r="D389" s="1" t="s">
        <v>9</v>
      </c>
      <c r="E389" s="3">
        <f>5192+508521+26078+415081+229840</f>
        <v>1184712</v>
      </c>
      <c r="G389" s="10">
        <f t="shared" si="6"/>
        <v>3408546</v>
      </c>
    </row>
    <row r="390" spans="1:7" x14ac:dyDescent="0.2">
      <c r="A390" s="13">
        <v>44446</v>
      </c>
      <c r="C390" s="23" t="s">
        <v>284</v>
      </c>
      <c r="D390" s="1" t="s">
        <v>9</v>
      </c>
      <c r="E390" s="3">
        <v>377194</v>
      </c>
      <c r="G390" s="10">
        <f t="shared" si="6"/>
        <v>3785740</v>
      </c>
    </row>
    <row r="391" spans="1:7" x14ac:dyDescent="0.2">
      <c r="A391" s="13">
        <v>44447</v>
      </c>
      <c r="C391" s="2" t="s">
        <v>52</v>
      </c>
      <c r="D391" s="1" t="s">
        <v>9</v>
      </c>
      <c r="E391" s="3">
        <v>900000</v>
      </c>
      <c r="G391" s="10">
        <f t="shared" si="6"/>
        <v>4685740</v>
      </c>
    </row>
    <row r="392" spans="1:7" x14ac:dyDescent="0.2">
      <c r="A392" s="13">
        <v>44447</v>
      </c>
      <c r="C392" s="2" t="s">
        <v>253</v>
      </c>
      <c r="D392" s="1" t="s">
        <v>9</v>
      </c>
      <c r="F392" s="3">
        <v>100</v>
      </c>
      <c r="G392" s="10">
        <f t="shared" si="6"/>
        <v>4685640</v>
      </c>
    </row>
    <row r="393" spans="1:7" x14ac:dyDescent="0.2">
      <c r="A393" s="13">
        <v>44447</v>
      </c>
      <c r="C393" s="23" t="s">
        <v>285</v>
      </c>
      <c r="D393" s="1" t="s">
        <v>9</v>
      </c>
      <c r="E393" s="3">
        <f>4779+158504+245251</f>
        <v>408534</v>
      </c>
      <c r="G393" s="10">
        <f t="shared" si="6"/>
        <v>5094174</v>
      </c>
    </row>
    <row r="394" spans="1:7" x14ac:dyDescent="0.2">
      <c r="A394" s="13">
        <v>44449</v>
      </c>
      <c r="C394" s="2" t="s">
        <v>264</v>
      </c>
      <c r="D394" s="1" t="s">
        <v>9</v>
      </c>
      <c r="F394" s="3">
        <f>376970</f>
        <v>376970</v>
      </c>
      <c r="G394" s="10">
        <f t="shared" si="6"/>
        <v>4717204</v>
      </c>
    </row>
    <row r="395" spans="1:7" x14ac:dyDescent="0.2">
      <c r="A395" s="13">
        <v>44449</v>
      </c>
      <c r="C395" s="2" t="s">
        <v>34</v>
      </c>
      <c r="D395" s="1" t="s">
        <v>9</v>
      </c>
      <c r="F395" s="3">
        <f>275+275</f>
        <v>550</v>
      </c>
      <c r="G395" s="10">
        <f t="shared" si="6"/>
        <v>4716654</v>
      </c>
    </row>
    <row r="396" spans="1:7" x14ac:dyDescent="0.2">
      <c r="A396" s="13">
        <v>44449</v>
      </c>
      <c r="C396" s="2" t="s">
        <v>286</v>
      </c>
      <c r="D396" s="1" t="s">
        <v>9</v>
      </c>
      <c r="F396" s="3">
        <f>1678761</f>
        <v>1678761</v>
      </c>
      <c r="G396" s="10">
        <f t="shared" si="6"/>
        <v>3037893</v>
      </c>
    </row>
    <row r="397" spans="1:7" x14ac:dyDescent="0.2">
      <c r="A397" s="13">
        <v>44449</v>
      </c>
      <c r="C397" s="2" t="s">
        <v>287</v>
      </c>
      <c r="D397" s="1" t="s">
        <v>9</v>
      </c>
      <c r="F397" s="3">
        <f>3757242</f>
        <v>3757242</v>
      </c>
      <c r="G397" s="10">
        <f t="shared" si="6"/>
        <v>-719349</v>
      </c>
    </row>
    <row r="398" spans="1:7" x14ac:dyDescent="0.2">
      <c r="A398" s="13">
        <v>44449</v>
      </c>
      <c r="B398" s="1" t="s">
        <v>288</v>
      </c>
      <c r="C398" s="2" t="s">
        <v>154</v>
      </c>
      <c r="D398" s="1" t="s">
        <v>9</v>
      </c>
      <c r="F398" s="3">
        <v>264130</v>
      </c>
      <c r="G398" s="10">
        <f t="shared" si="6"/>
        <v>-983479</v>
      </c>
    </row>
    <row r="399" spans="1:7" x14ac:dyDescent="0.2">
      <c r="A399" s="21">
        <v>44452</v>
      </c>
      <c r="B399" s="22"/>
      <c r="C399" s="23" t="s">
        <v>305</v>
      </c>
      <c r="D399" s="22" t="s">
        <v>9</v>
      </c>
      <c r="E399" s="24">
        <f>165499+167194+30418+246789</f>
        <v>609900</v>
      </c>
      <c r="F399" s="24"/>
      <c r="G399" s="10">
        <f t="shared" si="6"/>
        <v>-373579</v>
      </c>
    </row>
    <row r="400" spans="1:7" x14ac:dyDescent="0.2">
      <c r="A400" s="13">
        <v>44452</v>
      </c>
      <c r="C400" s="2" t="s">
        <v>292</v>
      </c>
      <c r="D400" s="1" t="s">
        <v>9</v>
      </c>
      <c r="E400" s="3">
        <v>2592360</v>
      </c>
      <c r="G400" s="10">
        <f t="shared" si="6"/>
        <v>2218781</v>
      </c>
    </row>
    <row r="401" spans="1:7" x14ac:dyDescent="0.2">
      <c r="A401" s="13">
        <v>44454</v>
      </c>
      <c r="C401" s="23" t="s">
        <v>290</v>
      </c>
      <c r="D401" s="1" t="s">
        <v>9</v>
      </c>
      <c r="E401" s="3">
        <f>15045+50150</f>
        <v>65195</v>
      </c>
      <c r="G401" s="10">
        <f t="shared" si="6"/>
        <v>2283976</v>
      </c>
    </row>
    <row r="402" spans="1:7" x14ac:dyDescent="0.2">
      <c r="A402" s="13">
        <v>44454</v>
      </c>
      <c r="C402" s="2" t="s">
        <v>291</v>
      </c>
      <c r="D402" s="1" t="s">
        <v>9</v>
      </c>
      <c r="E402" s="3">
        <v>385223</v>
      </c>
      <c r="G402" s="10">
        <f t="shared" si="6"/>
        <v>2669199</v>
      </c>
    </row>
    <row r="403" spans="1:7" x14ac:dyDescent="0.2">
      <c r="A403" s="13">
        <v>44454</v>
      </c>
      <c r="C403" s="2" t="s">
        <v>203</v>
      </c>
      <c r="D403" s="1" t="s">
        <v>9</v>
      </c>
      <c r="F403" s="3">
        <f>500000</f>
        <v>500000</v>
      </c>
      <c r="G403" s="10">
        <f t="shared" si="6"/>
        <v>2169199</v>
      </c>
    </row>
    <row r="404" spans="1:7" x14ac:dyDescent="0.2">
      <c r="A404" s="13">
        <v>44454</v>
      </c>
      <c r="C404" s="2" t="s">
        <v>289</v>
      </c>
      <c r="D404" s="1" t="s">
        <v>9</v>
      </c>
      <c r="F404" s="3">
        <f>1530000+275</f>
        <v>1530275</v>
      </c>
      <c r="G404" s="10">
        <f t="shared" si="6"/>
        <v>638924</v>
      </c>
    </row>
    <row r="405" spans="1:7" x14ac:dyDescent="0.2">
      <c r="A405" s="14">
        <v>44454</v>
      </c>
      <c r="B405" s="15"/>
      <c r="C405" s="16" t="s">
        <v>38</v>
      </c>
      <c r="D405" s="15" t="s">
        <v>9</v>
      </c>
      <c r="E405" s="17"/>
      <c r="F405" s="17">
        <f>2000+200</f>
        <v>2200</v>
      </c>
      <c r="G405" s="10">
        <f t="shared" si="6"/>
        <v>636724</v>
      </c>
    </row>
    <row r="406" spans="1:7" x14ac:dyDescent="0.2">
      <c r="A406" s="13">
        <v>44455</v>
      </c>
      <c r="C406" s="2" t="s">
        <v>304</v>
      </c>
      <c r="D406" s="1" t="s">
        <v>9</v>
      </c>
      <c r="F406" s="3">
        <f>1000000+3300</f>
        <v>1003300</v>
      </c>
      <c r="G406" s="10">
        <f t="shared" si="6"/>
        <v>-366576</v>
      </c>
    </row>
    <row r="407" spans="1:7" x14ac:dyDescent="0.2">
      <c r="A407" s="13">
        <v>44459</v>
      </c>
      <c r="C407" s="23" t="s">
        <v>293</v>
      </c>
      <c r="D407" s="1" t="s">
        <v>9</v>
      </c>
      <c r="E407" s="3">
        <f>124136+31861+92132+135828+39003+77408+65320</f>
        <v>565688</v>
      </c>
      <c r="G407" s="10">
        <f t="shared" si="6"/>
        <v>199112</v>
      </c>
    </row>
    <row r="408" spans="1:7" x14ac:dyDescent="0.2">
      <c r="A408" s="13">
        <v>44459</v>
      </c>
      <c r="C408" s="23" t="s">
        <v>294</v>
      </c>
      <c r="D408" s="1" t="s">
        <v>9</v>
      </c>
      <c r="E408" s="3">
        <f>762374+162804</f>
        <v>925178</v>
      </c>
      <c r="G408" s="10">
        <f t="shared" si="6"/>
        <v>1124290</v>
      </c>
    </row>
    <row r="409" spans="1:7" x14ac:dyDescent="0.2">
      <c r="A409" s="13">
        <v>44459</v>
      </c>
      <c r="C409" s="2" t="s">
        <v>301</v>
      </c>
      <c r="D409" s="1" t="s">
        <v>9</v>
      </c>
      <c r="F409" s="3">
        <f>2547435+88727</f>
        <v>2636162</v>
      </c>
      <c r="G409" s="10">
        <f t="shared" si="6"/>
        <v>-1511872</v>
      </c>
    </row>
    <row r="410" spans="1:7" x14ac:dyDescent="0.2">
      <c r="A410" s="13">
        <v>44459</v>
      </c>
      <c r="C410" s="2" t="s">
        <v>35</v>
      </c>
      <c r="D410" s="1" t="s">
        <v>9</v>
      </c>
      <c r="F410" s="3">
        <v>6600</v>
      </c>
      <c r="G410" s="10">
        <f t="shared" si="6"/>
        <v>-1518472</v>
      </c>
    </row>
    <row r="411" spans="1:7" x14ac:dyDescent="0.2">
      <c r="A411" s="13">
        <v>44459</v>
      </c>
      <c r="C411" s="2" t="s">
        <v>302</v>
      </c>
      <c r="D411" s="1" t="s">
        <v>9</v>
      </c>
      <c r="F411" s="3">
        <f>4101391+119428</f>
        <v>4220819</v>
      </c>
      <c r="G411" s="10">
        <f t="shared" si="6"/>
        <v>-5739291</v>
      </c>
    </row>
    <row r="412" spans="1:7" x14ac:dyDescent="0.2">
      <c r="A412" s="13">
        <v>44459</v>
      </c>
      <c r="C412" s="2" t="s">
        <v>303</v>
      </c>
      <c r="D412" s="1" t="s">
        <v>9</v>
      </c>
      <c r="F412" s="3">
        <f>3131125+100261</f>
        <v>3231386</v>
      </c>
      <c r="G412" s="10">
        <f t="shared" si="6"/>
        <v>-8970677</v>
      </c>
    </row>
    <row r="413" spans="1:7" x14ac:dyDescent="0.2">
      <c r="A413" s="13">
        <v>44460</v>
      </c>
      <c r="C413" s="2" t="s">
        <v>300</v>
      </c>
      <c r="D413" s="1" t="s">
        <v>9</v>
      </c>
      <c r="E413" s="3">
        <v>12700000</v>
      </c>
      <c r="G413" s="10">
        <f t="shared" si="6"/>
        <v>3729323</v>
      </c>
    </row>
    <row r="414" spans="1:7" x14ac:dyDescent="0.2">
      <c r="A414" s="13">
        <v>44460</v>
      </c>
      <c r="C414" s="2" t="s">
        <v>299</v>
      </c>
      <c r="D414" s="1" t="s">
        <v>9</v>
      </c>
      <c r="E414" s="3">
        <v>234909</v>
      </c>
      <c r="G414" s="10">
        <f t="shared" si="6"/>
        <v>3964232</v>
      </c>
    </row>
    <row r="415" spans="1:7" x14ac:dyDescent="0.2">
      <c r="A415" s="13">
        <v>44461</v>
      </c>
      <c r="C415" s="2" t="s">
        <v>76</v>
      </c>
      <c r="D415" s="1" t="s">
        <v>9</v>
      </c>
      <c r="E415" s="3">
        <v>24544</v>
      </c>
      <c r="G415" s="10">
        <f t="shared" si="6"/>
        <v>3988776</v>
      </c>
    </row>
    <row r="416" spans="1:7" x14ac:dyDescent="0.2">
      <c r="A416" s="13">
        <v>44463</v>
      </c>
      <c r="C416" s="23" t="s">
        <v>295</v>
      </c>
      <c r="D416" s="1" t="s">
        <v>9</v>
      </c>
      <c r="E416" s="3">
        <f>144196+60982+68237+1373803+111921</f>
        <v>1759139</v>
      </c>
      <c r="G416" s="10">
        <f t="shared" si="6"/>
        <v>5747915</v>
      </c>
    </row>
    <row r="417" spans="1:7" x14ac:dyDescent="0.2">
      <c r="A417" s="13">
        <v>44463</v>
      </c>
      <c r="C417" s="2" t="s">
        <v>296</v>
      </c>
      <c r="D417" s="1" t="s">
        <v>9</v>
      </c>
      <c r="E417" s="3">
        <v>1702000</v>
      </c>
      <c r="G417" s="10">
        <f t="shared" si="6"/>
        <v>7449915</v>
      </c>
    </row>
    <row r="418" spans="1:7" x14ac:dyDescent="0.2">
      <c r="A418" s="13">
        <v>44463</v>
      </c>
      <c r="C418" s="2" t="s">
        <v>253</v>
      </c>
      <c r="D418" s="1" t="s">
        <v>9</v>
      </c>
      <c r="F418" s="3">
        <v>100</v>
      </c>
      <c r="G418" s="10">
        <f t="shared" si="6"/>
        <v>7449815</v>
      </c>
    </row>
    <row r="419" spans="1:7" x14ac:dyDescent="0.2">
      <c r="A419" s="13">
        <v>44466</v>
      </c>
      <c r="B419" s="1" t="s">
        <v>297</v>
      </c>
      <c r="C419" s="2" t="s">
        <v>234</v>
      </c>
      <c r="D419" s="1" t="s">
        <v>9</v>
      </c>
      <c r="F419" s="3">
        <v>270000</v>
      </c>
      <c r="G419" s="10">
        <f t="shared" si="6"/>
        <v>7179815</v>
      </c>
    </row>
    <row r="420" spans="1:7" x14ac:dyDescent="0.2">
      <c r="A420" s="13">
        <v>44466</v>
      </c>
      <c r="B420" s="1" t="s">
        <v>298</v>
      </c>
      <c r="C420" s="2" t="s">
        <v>150</v>
      </c>
      <c r="D420" s="1" t="s">
        <v>9</v>
      </c>
      <c r="F420" s="3">
        <v>220000</v>
      </c>
      <c r="G420" s="10">
        <f t="shared" si="6"/>
        <v>6959815</v>
      </c>
    </row>
    <row r="421" spans="1:7" x14ac:dyDescent="0.2">
      <c r="A421" s="13">
        <v>44468</v>
      </c>
      <c r="C421" s="2" t="s">
        <v>309</v>
      </c>
      <c r="D421" s="1" t="s">
        <v>9</v>
      </c>
      <c r="F421" s="3">
        <v>5000000</v>
      </c>
      <c r="G421" s="10">
        <f t="shared" si="6"/>
        <v>1959815</v>
      </c>
    </row>
    <row r="422" spans="1:7" x14ac:dyDescent="0.2">
      <c r="A422" s="13">
        <v>44469</v>
      </c>
      <c r="C422" s="23" t="s">
        <v>306</v>
      </c>
      <c r="D422" s="1" t="s">
        <v>9</v>
      </c>
      <c r="E422" s="3">
        <f>27081+48587+61632</f>
        <v>137300</v>
      </c>
      <c r="G422" s="10">
        <f t="shared" si="6"/>
        <v>2097115</v>
      </c>
    </row>
    <row r="423" spans="1:7" x14ac:dyDescent="0.2">
      <c r="A423" s="13">
        <v>44469</v>
      </c>
      <c r="C423" s="23" t="s">
        <v>307</v>
      </c>
      <c r="D423" s="1" t="s">
        <v>9</v>
      </c>
      <c r="E423" s="3">
        <v>520952</v>
      </c>
      <c r="G423" s="10">
        <f t="shared" si="6"/>
        <v>2618067</v>
      </c>
    </row>
    <row r="424" spans="1:7" x14ac:dyDescent="0.2">
      <c r="A424" s="13">
        <v>44469</v>
      </c>
      <c r="C424" s="23" t="s">
        <v>308</v>
      </c>
      <c r="D424" s="1" t="s">
        <v>9</v>
      </c>
      <c r="E424" s="3">
        <v>203259</v>
      </c>
      <c r="G424" s="10">
        <f t="shared" si="6"/>
        <v>2821326</v>
      </c>
    </row>
    <row r="425" spans="1:7" x14ac:dyDescent="0.2">
      <c r="A425" s="13">
        <v>44469</v>
      </c>
      <c r="C425" s="2" t="s">
        <v>353</v>
      </c>
      <c r="D425" s="1" t="s">
        <v>9</v>
      </c>
      <c r="F425" s="3">
        <v>1781184</v>
      </c>
      <c r="G425" s="10">
        <f t="shared" si="6"/>
        <v>1040142</v>
      </c>
    </row>
    <row r="426" spans="1:7" x14ac:dyDescent="0.2">
      <c r="A426" s="13">
        <v>44469</v>
      </c>
      <c r="C426" s="2" t="s">
        <v>34</v>
      </c>
      <c r="D426" s="1" t="s">
        <v>9</v>
      </c>
      <c r="F426" s="3">
        <v>1100</v>
      </c>
      <c r="G426" s="10">
        <f t="shared" ref="G426:G427" si="7">G425+E426-F426</f>
        <v>1039042</v>
      </c>
    </row>
    <row r="427" spans="1:7" x14ac:dyDescent="0.2">
      <c r="A427" s="13">
        <v>44469</v>
      </c>
      <c r="C427" s="2" t="s">
        <v>310</v>
      </c>
      <c r="D427" s="1" t="s">
        <v>9</v>
      </c>
      <c r="F427" s="3">
        <v>74265</v>
      </c>
      <c r="G427" s="10">
        <f t="shared" si="7"/>
        <v>964777</v>
      </c>
    </row>
    <row r="428" spans="1:7" ht="15.75" x14ac:dyDescent="0.25">
      <c r="A428" s="11" t="s">
        <v>321</v>
      </c>
      <c r="G428" s="10"/>
    </row>
    <row r="429" spans="1:7" x14ac:dyDescent="0.2">
      <c r="A429" s="12" t="s">
        <v>2</v>
      </c>
      <c r="B429" s="5" t="s">
        <v>1</v>
      </c>
      <c r="C429" s="5" t="s">
        <v>3</v>
      </c>
      <c r="D429" s="5"/>
      <c r="E429" s="8" t="s">
        <v>4</v>
      </c>
      <c r="F429" s="8" t="s">
        <v>6</v>
      </c>
      <c r="G429" s="9" t="s">
        <v>5</v>
      </c>
    </row>
    <row r="430" spans="1:7" x14ac:dyDescent="0.2">
      <c r="A430" s="13">
        <v>44470</v>
      </c>
      <c r="C430" s="2" t="s">
        <v>311</v>
      </c>
      <c r="D430" s="1" t="s">
        <v>9</v>
      </c>
      <c r="F430" s="3">
        <f>3131125+100261</f>
        <v>3231386</v>
      </c>
      <c r="G430" s="10">
        <f>G427+E430-F430</f>
        <v>-2266609</v>
      </c>
    </row>
    <row r="431" spans="1:7" x14ac:dyDescent="0.2">
      <c r="A431" s="13">
        <v>44470</v>
      </c>
      <c r="C431" s="2" t="s">
        <v>312</v>
      </c>
      <c r="D431" s="1" t="s">
        <v>9</v>
      </c>
      <c r="F431" s="3">
        <f>6148633+159854</f>
        <v>6308487</v>
      </c>
      <c r="G431" s="10">
        <f t="shared" ref="G431:G501" si="8">G430+E431-F431</f>
        <v>-8575096</v>
      </c>
    </row>
    <row r="432" spans="1:7" x14ac:dyDescent="0.2">
      <c r="A432" s="13">
        <v>44470</v>
      </c>
      <c r="B432" s="1" t="s">
        <v>317</v>
      </c>
      <c r="C432" s="2" t="s">
        <v>313</v>
      </c>
      <c r="D432" s="1" t="s">
        <v>9</v>
      </c>
      <c r="F432" s="3">
        <v>790000</v>
      </c>
      <c r="G432" s="10">
        <f t="shared" si="8"/>
        <v>-9365096</v>
      </c>
    </row>
    <row r="433" spans="1:7" x14ac:dyDescent="0.2">
      <c r="A433" s="13">
        <v>44470</v>
      </c>
      <c r="C433" s="2" t="s">
        <v>319</v>
      </c>
      <c r="D433" s="1" t="s">
        <v>9</v>
      </c>
      <c r="E433" s="3">
        <v>5000000</v>
      </c>
      <c r="G433" s="10">
        <f t="shared" si="8"/>
        <v>-4365096</v>
      </c>
    </row>
    <row r="434" spans="1:7" x14ac:dyDescent="0.2">
      <c r="A434" s="13">
        <v>44471</v>
      </c>
      <c r="C434" s="2" t="s">
        <v>316</v>
      </c>
      <c r="D434" s="1" t="s">
        <v>9</v>
      </c>
      <c r="E434" s="3">
        <v>132781</v>
      </c>
      <c r="G434" s="10">
        <f t="shared" si="8"/>
        <v>-4232315</v>
      </c>
    </row>
    <row r="435" spans="1:7" x14ac:dyDescent="0.2">
      <c r="A435" s="13">
        <v>44473</v>
      </c>
      <c r="C435" s="23" t="s">
        <v>314</v>
      </c>
      <c r="D435" s="1" t="s">
        <v>9</v>
      </c>
      <c r="E435" s="3">
        <f>117219+213285</f>
        <v>330504</v>
      </c>
      <c r="G435" s="10">
        <f t="shared" si="8"/>
        <v>-3901811</v>
      </c>
    </row>
    <row r="436" spans="1:7" x14ac:dyDescent="0.2">
      <c r="A436" s="13">
        <v>44473</v>
      </c>
      <c r="C436" s="23" t="s">
        <v>315</v>
      </c>
      <c r="D436" s="1" t="s">
        <v>9</v>
      </c>
      <c r="E436" s="3">
        <v>285855</v>
      </c>
      <c r="G436" s="10">
        <f t="shared" si="8"/>
        <v>-3615956</v>
      </c>
    </row>
    <row r="437" spans="1:7" x14ac:dyDescent="0.2">
      <c r="A437" s="13">
        <v>44473</v>
      </c>
      <c r="C437" s="2" t="s">
        <v>318</v>
      </c>
      <c r="D437" s="1" t="s">
        <v>9</v>
      </c>
      <c r="F437" s="3">
        <f>520952+6600</f>
        <v>527552</v>
      </c>
      <c r="G437" s="10">
        <f t="shared" si="8"/>
        <v>-4143508</v>
      </c>
    </row>
    <row r="438" spans="1:7" x14ac:dyDescent="0.2">
      <c r="A438" s="13">
        <v>44473</v>
      </c>
      <c r="C438" s="2" t="s">
        <v>258</v>
      </c>
      <c r="D438" s="1" t="s">
        <v>9</v>
      </c>
      <c r="E438" s="3">
        <v>34000</v>
      </c>
      <c r="G438" s="10">
        <f t="shared" si="8"/>
        <v>-4109508</v>
      </c>
    </row>
    <row r="439" spans="1:7" x14ac:dyDescent="0.2">
      <c r="A439" s="13">
        <v>44474</v>
      </c>
      <c r="C439" s="2" t="s">
        <v>320</v>
      </c>
      <c r="D439" s="1" t="s">
        <v>9</v>
      </c>
      <c r="F439" s="3">
        <f>1232879</f>
        <v>1232879</v>
      </c>
      <c r="G439" s="10">
        <f t="shared" si="8"/>
        <v>-5342387</v>
      </c>
    </row>
    <row r="440" spans="1:7" x14ac:dyDescent="0.2">
      <c r="A440" s="13">
        <v>44474</v>
      </c>
      <c r="C440" s="2" t="s">
        <v>84</v>
      </c>
      <c r="D440" s="1" t="s">
        <v>9</v>
      </c>
      <c r="F440" s="3">
        <v>487589</v>
      </c>
      <c r="G440" s="10">
        <f t="shared" si="8"/>
        <v>-5829976</v>
      </c>
    </row>
    <row r="441" spans="1:7" x14ac:dyDescent="0.2">
      <c r="A441" s="13">
        <v>44474</v>
      </c>
      <c r="C441" s="2" t="s">
        <v>346</v>
      </c>
      <c r="D441" s="1" t="s">
        <v>9</v>
      </c>
      <c r="F441" s="3">
        <f>2000+200</f>
        <v>2200</v>
      </c>
      <c r="G441" s="10">
        <f t="shared" si="8"/>
        <v>-5832176</v>
      </c>
    </row>
    <row r="442" spans="1:7" x14ac:dyDescent="0.2">
      <c r="A442" s="13">
        <v>44475</v>
      </c>
      <c r="C442" s="23" t="s">
        <v>322</v>
      </c>
      <c r="D442" s="1" t="s">
        <v>9</v>
      </c>
      <c r="E442" s="3">
        <f>254376+398250+16815+315118+207321</f>
        <v>1191880</v>
      </c>
      <c r="G442" s="10">
        <f t="shared" si="8"/>
        <v>-4640296</v>
      </c>
    </row>
    <row r="443" spans="1:7" x14ac:dyDescent="0.2">
      <c r="A443" s="13">
        <v>44476</v>
      </c>
      <c r="C443" s="23" t="s">
        <v>323</v>
      </c>
      <c r="D443" s="1" t="s">
        <v>9</v>
      </c>
      <c r="E443" s="3">
        <v>95285</v>
      </c>
      <c r="G443" s="10">
        <f t="shared" si="8"/>
        <v>-4545011</v>
      </c>
    </row>
    <row r="444" spans="1:7" x14ac:dyDescent="0.2">
      <c r="A444" s="13">
        <v>44476</v>
      </c>
      <c r="C444" s="23" t="s">
        <v>324</v>
      </c>
      <c r="D444" s="1" t="s">
        <v>9</v>
      </c>
      <c r="E444" s="3">
        <v>695124</v>
      </c>
      <c r="G444" s="10">
        <f t="shared" si="8"/>
        <v>-3849887</v>
      </c>
    </row>
    <row r="445" spans="1:7" x14ac:dyDescent="0.2">
      <c r="A445" s="13">
        <v>44480</v>
      </c>
      <c r="C445" s="2" t="s">
        <v>345</v>
      </c>
      <c r="D445" s="1" t="s">
        <v>9</v>
      </c>
      <c r="E445" s="3">
        <v>119475</v>
      </c>
      <c r="G445" s="10">
        <f t="shared" si="8"/>
        <v>-3730412</v>
      </c>
    </row>
    <row r="446" spans="1:7" x14ac:dyDescent="0.2">
      <c r="A446" s="13">
        <v>44480</v>
      </c>
      <c r="C446" s="19" t="s">
        <v>325</v>
      </c>
      <c r="D446" s="1" t="s">
        <v>9</v>
      </c>
      <c r="F446" s="3">
        <f>224337+275</f>
        <v>224612</v>
      </c>
      <c r="G446" s="10">
        <f t="shared" si="8"/>
        <v>-3955024</v>
      </c>
    </row>
    <row r="447" spans="1:7" x14ac:dyDescent="0.2">
      <c r="A447" s="13">
        <v>44480</v>
      </c>
      <c r="C447" s="19" t="s">
        <v>326</v>
      </c>
      <c r="D447" s="1" t="s">
        <v>9</v>
      </c>
      <c r="F447" s="3">
        <f>136456+275</f>
        <v>136731</v>
      </c>
      <c r="G447" s="10">
        <f t="shared" si="8"/>
        <v>-4091755</v>
      </c>
    </row>
    <row r="448" spans="1:7" x14ac:dyDescent="0.2">
      <c r="A448" s="13">
        <v>44480</v>
      </c>
      <c r="C448" s="19" t="s">
        <v>327</v>
      </c>
      <c r="D448" s="1" t="s">
        <v>9</v>
      </c>
      <c r="F448" s="3">
        <f>375000+275</f>
        <v>375275</v>
      </c>
      <c r="G448" s="10">
        <f t="shared" si="8"/>
        <v>-4467030</v>
      </c>
    </row>
    <row r="449" spans="1:7" x14ac:dyDescent="0.2">
      <c r="A449" s="13">
        <v>44480</v>
      </c>
      <c r="C449" s="19" t="s">
        <v>328</v>
      </c>
      <c r="D449" s="1" t="s">
        <v>9</v>
      </c>
      <c r="F449" s="3">
        <f>186482+275</f>
        <v>186757</v>
      </c>
      <c r="G449" s="10">
        <f t="shared" si="8"/>
        <v>-4653787</v>
      </c>
    </row>
    <row r="450" spans="1:7" x14ac:dyDescent="0.2">
      <c r="A450" s="13">
        <v>44480</v>
      </c>
      <c r="C450" s="19" t="s">
        <v>329</v>
      </c>
      <c r="D450" s="1" t="s">
        <v>9</v>
      </c>
      <c r="F450" s="3">
        <f>55914</f>
        <v>55914</v>
      </c>
      <c r="G450" s="10">
        <f t="shared" si="8"/>
        <v>-4709701</v>
      </c>
    </row>
    <row r="451" spans="1:7" x14ac:dyDescent="0.2">
      <c r="A451" s="13">
        <v>44480</v>
      </c>
      <c r="C451" s="19" t="s">
        <v>330</v>
      </c>
      <c r="D451" s="1" t="s">
        <v>9</v>
      </c>
      <c r="F451" s="3">
        <f>381629+275</f>
        <v>381904</v>
      </c>
      <c r="G451" s="10">
        <f t="shared" si="8"/>
        <v>-5091605</v>
      </c>
    </row>
    <row r="452" spans="1:7" x14ac:dyDescent="0.2">
      <c r="A452" s="13">
        <v>44480</v>
      </c>
      <c r="C452" s="19" t="s">
        <v>331</v>
      </c>
      <c r="D452" s="1" t="s">
        <v>9</v>
      </c>
      <c r="F452" s="3">
        <f>733459</f>
        <v>733459</v>
      </c>
      <c r="G452" s="10">
        <f t="shared" si="8"/>
        <v>-5825064</v>
      </c>
    </row>
    <row r="453" spans="1:7" x14ac:dyDescent="0.2">
      <c r="A453" s="13">
        <v>44480</v>
      </c>
      <c r="C453" s="19" t="s">
        <v>332</v>
      </c>
      <c r="D453" s="1" t="s">
        <v>9</v>
      </c>
      <c r="F453" s="3">
        <f>441468</f>
        <v>441468</v>
      </c>
      <c r="G453" s="10">
        <f t="shared" si="8"/>
        <v>-6266532</v>
      </c>
    </row>
    <row r="454" spans="1:7" x14ac:dyDescent="0.2">
      <c r="A454" s="13">
        <v>44480</v>
      </c>
      <c r="C454" s="19" t="s">
        <v>333</v>
      </c>
      <c r="D454" s="26" t="s">
        <v>9</v>
      </c>
      <c r="F454" s="3">
        <f>1800000+275</f>
        <v>1800275</v>
      </c>
      <c r="G454" s="10">
        <f t="shared" si="8"/>
        <v>-8066807</v>
      </c>
    </row>
    <row r="455" spans="1:7" x14ac:dyDescent="0.2">
      <c r="A455" s="13">
        <v>44480</v>
      </c>
      <c r="C455" s="19" t="s">
        <v>334</v>
      </c>
      <c r="D455" s="1" t="s">
        <v>9</v>
      </c>
      <c r="F455" s="3">
        <f>432906+275</f>
        <v>433181</v>
      </c>
      <c r="G455" s="10">
        <f t="shared" si="8"/>
        <v>-8499988</v>
      </c>
    </row>
    <row r="456" spans="1:7" x14ac:dyDescent="0.2">
      <c r="A456" s="13">
        <v>44480</v>
      </c>
      <c r="C456" s="23" t="s">
        <v>335</v>
      </c>
      <c r="D456" s="1" t="s">
        <v>9</v>
      </c>
      <c r="E456" s="3">
        <f>126024+384402+125051+307801+345287+738850</f>
        <v>2027415</v>
      </c>
      <c r="G456" s="10">
        <f t="shared" si="8"/>
        <v>-6472573</v>
      </c>
    </row>
    <row r="457" spans="1:7" x14ac:dyDescent="0.2">
      <c r="A457" s="13">
        <v>44481</v>
      </c>
      <c r="C457" s="2" t="s">
        <v>344</v>
      </c>
      <c r="D457" s="1" t="s">
        <v>9</v>
      </c>
      <c r="E457" s="3">
        <v>520952</v>
      </c>
      <c r="G457" s="10">
        <f t="shared" si="8"/>
        <v>-5951621</v>
      </c>
    </row>
    <row r="458" spans="1:7" x14ac:dyDescent="0.2">
      <c r="A458" s="21">
        <v>44481</v>
      </c>
      <c r="B458" s="22"/>
      <c r="C458" s="23" t="s">
        <v>116</v>
      </c>
      <c r="D458" s="22" t="s">
        <v>9</v>
      </c>
      <c r="E458" s="24">
        <v>589872</v>
      </c>
      <c r="F458" s="24"/>
      <c r="G458" s="10">
        <f t="shared" si="8"/>
        <v>-5361749</v>
      </c>
    </row>
    <row r="459" spans="1:7" x14ac:dyDescent="0.2">
      <c r="A459" s="13">
        <v>44481</v>
      </c>
      <c r="C459" s="23" t="s">
        <v>336</v>
      </c>
      <c r="D459" s="1" t="s">
        <v>9</v>
      </c>
      <c r="E459" s="3">
        <f>23871+172988+764687</f>
        <v>961546</v>
      </c>
      <c r="G459" s="10">
        <f t="shared" si="8"/>
        <v>-4400203</v>
      </c>
    </row>
    <row r="460" spans="1:7" x14ac:dyDescent="0.2">
      <c r="A460" s="13">
        <v>44482</v>
      </c>
      <c r="C460" s="2" t="s">
        <v>296</v>
      </c>
      <c r="D460" s="1" t="s">
        <v>9</v>
      </c>
      <c r="E460" s="3">
        <v>800000</v>
      </c>
      <c r="G460" s="10">
        <f t="shared" si="8"/>
        <v>-3600203</v>
      </c>
    </row>
    <row r="461" spans="1:7" x14ac:dyDescent="0.2">
      <c r="A461" s="13">
        <v>44482</v>
      </c>
      <c r="C461" s="2" t="s">
        <v>253</v>
      </c>
      <c r="D461" s="1" t="s">
        <v>9</v>
      </c>
      <c r="F461" s="3">
        <v>100</v>
      </c>
      <c r="G461" s="10">
        <f t="shared" si="8"/>
        <v>-3600303</v>
      </c>
    </row>
    <row r="462" spans="1:7" x14ac:dyDescent="0.2">
      <c r="A462" s="13">
        <v>44482</v>
      </c>
      <c r="C462" s="23" t="s">
        <v>338</v>
      </c>
      <c r="D462" s="1" t="s">
        <v>9</v>
      </c>
      <c r="E462" s="3">
        <f>16520+641820+48736+31506</f>
        <v>738582</v>
      </c>
      <c r="G462" s="10">
        <f t="shared" si="8"/>
        <v>-2861721</v>
      </c>
    </row>
    <row r="463" spans="1:7" x14ac:dyDescent="0.2">
      <c r="A463" s="13">
        <v>44484</v>
      </c>
      <c r="C463" s="2" t="s">
        <v>337</v>
      </c>
      <c r="D463" s="1" t="s">
        <v>9</v>
      </c>
      <c r="F463" s="3">
        <f>678500</f>
        <v>678500</v>
      </c>
      <c r="G463" s="10">
        <f t="shared" si="8"/>
        <v>-3540221</v>
      </c>
    </row>
    <row r="464" spans="1:7" x14ac:dyDescent="0.2">
      <c r="A464" s="13">
        <v>44484</v>
      </c>
      <c r="C464" s="2" t="s">
        <v>319</v>
      </c>
      <c r="D464" s="1" t="s">
        <v>9</v>
      </c>
      <c r="E464" s="3">
        <v>5000000</v>
      </c>
      <c r="G464" s="10">
        <f t="shared" si="8"/>
        <v>1459779</v>
      </c>
    </row>
    <row r="465" spans="1:7" x14ac:dyDescent="0.2">
      <c r="A465" s="13">
        <v>44484</v>
      </c>
      <c r="C465" s="2" t="s">
        <v>339</v>
      </c>
      <c r="D465" s="1" t="s">
        <v>9</v>
      </c>
      <c r="F465" s="3">
        <f>986186+3300</f>
        <v>989486</v>
      </c>
      <c r="G465" s="10">
        <f t="shared" si="8"/>
        <v>470293</v>
      </c>
    </row>
    <row r="466" spans="1:7" x14ac:dyDescent="0.2">
      <c r="A466" s="13">
        <v>44484</v>
      </c>
      <c r="C466" s="2" t="s">
        <v>339</v>
      </c>
      <c r="D466" s="1" t="s">
        <v>9</v>
      </c>
      <c r="F466" s="3">
        <f>52749+3300</f>
        <v>56049</v>
      </c>
      <c r="G466" s="10">
        <f t="shared" si="8"/>
        <v>414244</v>
      </c>
    </row>
    <row r="467" spans="1:7" x14ac:dyDescent="0.2">
      <c r="A467" s="13">
        <v>44484</v>
      </c>
      <c r="C467" s="23" t="s">
        <v>342</v>
      </c>
      <c r="D467" s="1" t="s">
        <v>9</v>
      </c>
      <c r="E467" s="3">
        <f>35105+1790001+508020</f>
        <v>2333126</v>
      </c>
      <c r="G467" s="10">
        <f t="shared" si="8"/>
        <v>2747370</v>
      </c>
    </row>
    <row r="468" spans="1:7" x14ac:dyDescent="0.2">
      <c r="A468" s="13">
        <v>44484</v>
      </c>
      <c r="C468" s="23" t="s">
        <v>341</v>
      </c>
      <c r="D468" s="1" t="s">
        <v>9</v>
      </c>
      <c r="E468" s="3">
        <v>3932399</v>
      </c>
      <c r="G468" s="10">
        <f t="shared" si="8"/>
        <v>6679769</v>
      </c>
    </row>
    <row r="469" spans="1:7" x14ac:dyDescent="0.2">
      <c r="A469" s="13">
        <v>44487</v>
      </c>
      <c r="C469" s="2" t="s">
        <v>340</v>
      </c>
      <c r="D469" s="1" t="s">
        <v>9</v>
      </c>
      <c r="F469" s="3">
        <f>979098</f>
        <v>979098</v>
      </c>
      <c r="G469" s="10">
        <f t="shared" si="8"/>
        <v>5700671</v>
      </c>
    </row>
    <row r="470" spans="1:7" x14ac:dyDescent="0.2">
      <c r="A470" s="13">
        <v>44488</v>
      </c>
      <c r="C470" s="2" t="s">
        <v>35</v>
      </c>
      <c r="D470" s="1" t="s">
        <v>9</v>
      </c>
      <c r="F470" s="3">
        <v>6600</v>
      </c>
      <c r="G470" s="10">
        <f t="shared" si="8"/>
        <v>5694071</v>
      </c>
    </row>
    <row r="471" spans="1:7" x14ac:dyDescent="0.2">
      <c r="A471" s="13">
        <v>44488</v>
      </c>
      <c r="C471" s="2" t="s">
        <v>343</v>
      </c>
      <c r="D471" s="1" t="s">
        <v>9</v>
      </c>
      <c r="F471" s="3">
        <v>6600</v>
      </c>
      <c r="G471" s="10">
        <f t="shared" si="8"/>
        <v>5687471</v>
      </c>
    </row>
    <row r="472" spans="1:7" x14ac:dyDescent="0.2">
      <c r="A472" s="13">
        <v>44488</v>
      </c>
      <c r="C472" s="2" t="s">
        <v>343</v>
      </c>
      <c r="D472" s="1" t="s">
        <v>9</v>
      </c>
      <c r="F472" s="3">
        <v>16520</v>
      </c>
      <c r="G472" s="10">
        <f t="shared" si="8"/>
        <v>5670951</v>
      </c>
    </row>
    <row r="473" spans="1:7" x14ac:dyDescent="0.2">
      <c r="A473" s="21">
        <v>44490</v>
      </c>
      <c r="B473" s="22" t="s">
        <v>352</v>
      </c>
      <c r="C473" s="23" t="s">
        <v>237</v>
      </c>
      <c r="D473" s="22" t="s">
        <v>9</v>
      </c>
      <c r="E473" s="24"/>
      <c r="F473" s="24">
        <v>1277097</v>
      </c>
      <c r="G473" s="10">
        <f t="shared" si="8"/>
        <v>4393854</v>
      </c>
    </row>
    <row r="474" spans="1:7" x14ac:dyDescent="0.2">
      <c r="A474" s="13">
        <v>44491</v>
      </c>
      <c r="C474" s="23" t="s">
        <v>347</v>
      </c>
      <c r="D474" s="1" t="s">
        <v>9</v>
      </c>
      <c r="E474" s="3">
        <f>195038+316619+476681+105315+418694+62304</f>
        <v>1574651</v>
      </c>
      <c r="G474" s="10">
        <f t="shared" si="8"/>
        <v>5968505</v>
      </c>
    </row>
    <row r="475" spans="1:7" x14ac:dyDescent="0.2">
      <c r="A475" s="13">
        <v>44494</v>
      </c>
      <c r="C475" s="2" t="s">
        <v>27</v>
      </c>
      <c r="D475" s="1" t="s">
        <v>9</v>
      </c>
      <c r="F475" s="3">
        <v>150000</v>
      </c>
      <c r="G475" s="10">
        <f t="shared" si="8"/>
        <v>5818505</v>
      </c>
    </row>
    <row r="476" spans="1:7" x14ac:dyDescent="0.2">
      <c r="A476" s="13">
        <v>44494</v>
      </c>
      <c r="C476" s="2" t="s">
        <v>189</v>
      </c>
      <c r="D476" s="1" t="s">
        <v>9</v>
      </c>
      <c r="E476" s="3">
        <v>126496</v>
      </c>
      <c r="G476" s="10">
        <f t="shared" si="8"/>
        <v>5945001</v>
      </c>
    </row>
    <row r="477" spans="1:7" x14ac:dyDescent="0.2">
      <c r="A477" s="13">
        <v>44495</v>
      </c>
      <c r="C477" s="23" t="s">
        <v>348</v>
      </c>
      <c r="D477" s="1" t="s">
        <v>9</v>
      </c>
      <c r="E477" s="3">
        <f>33908+761653+43923</f>
        <v>839484</v>
      </c>
      <c r="G477" s="10">
        <f t="shared" si="8"/>
        <v>6784485</v>
      </c>
    </row>
    <row r="478" spans="1:7" x14ac:dyDescent="0.2">
      <c r="A478" s="13">
        <v>44497</v>
      </c>
      <c r="C478" s="2" t="s">
        <v>260</v>
      </c>
      <c r="D478" s="1" t="s">
        <v>9</v>
      </c>
      <c r="E478" s="3">
        <v>19520</v>
      </c>
      <c r="G478" s="10">
        <f t="shared" si="8"/>
        <v>6804005</v>
      </c>
    </row>
    <row r="479" spans="1:7" x14ac:dyDescent="0.2">
      <c r="A479" s="13">
        <v>44498</v>
      </c>
      <c r="C479" s="2" t="s">
        <v>350</v>
      </c>
      <c r="D479" s="1" t="s">
        <v>9</v>
      </c>
      <c r="F479" s="3">
        <v>73830</v>
      </c>
      <c r="G479" s="10">
        <f t="shared" si="8"/>
        <v>6730175</v>
      </c>
    </row>
    <row r="480" spans="1:7" x14ac:dyDescent="0.2">
      <c r="A480" s="13">
        <v>44498</v>
      </c>
      <c r="C480" s="2" t="s">
        <v>351</v>
      </c>
      <c r="D480" s="1" t="s">
        <v>9</v>
      </c>
      <c r="E480" s="3">
        <v>681450</v>
      </c>
      <c r="G480" s="10">
        <f t="shared" si="8"/>
        <v>7411625</v>
      </c>
    </row>
    <row r="481" spans="1:7" x14ac:dyDescent="0.2">
      <c r="A481" s="13">
        <v>44498</v>
      </c>
      <c r="C481" s="23" t="s">
        <v>349</v>
      </c>
      <c r="D481" s="1" t="s">
        <v>9</v>
      </c>
      <c r="E481" s="3">
        <f>161784+60511+87500+99417+127030</f>
        <v>536242</v>
      </c>
      <c r="G481" s="10">
        <f t="shared" si="8"/>
        <v>7947867</v>
      </c>
    </row>
    <row r="482" spans="1:7" ht="15.75" x14ac:dyDescent="0.25">
      <c r="A482" s="11" t="s">
        <v>358</v>
      </c>
      <c r="G482" s="10"/>
    </row>
    <row r="483" spans="1:7" x14ac:dyDescent="0.2">
      <c r="A483" s="12" t="s">
        <v>2</v>
      </c>
      <c r="B483" s="5" t="s">
        <v>1</v>
      </c>
      <c r="C483" s="5" t="s">
        <v>3</v>
      </c>
      <c r="D483" s="5"/>
      <c r="E483" s="8" t="s">
        <v>4</v>
      </c>
      <c r="F483" s="8" t="s">
        <v>6</v>
      </c>
      <c r="G483" s="9" t="s">
        <v>5</v>
      </c>
    </row>
    <row r="484" spans="1:7" x14ac:dyDescent="0.2">
      <c r="A484" s="13">
        <v>44503</v>
      </c>
      <c r="C484" s="2" t="s">
        <v>354</v>
      </c>
      <c r="D484" s="1" t="s">
        <v>9</v>
      </c>
      <c r="F484" s="3">
        <v>2211485</v>
      </c>
      <c r="G484" s="10">
        <f>G481+E484-F484</f>
        <v>5736382</v>
      </c>
    </row>
    <row r="485" spans="1:7" x14ac:dyDescent="0.2">
      <c r="A485" s="13">
        <v>44503</v>
      </c>
      <c r="C485" s="2" t="s">
        <v>34</v>
      </c>
      <c r="D485" s="1" t="s">
        <v>9</v>
      </c>
      <c r="F485" s="3">
        <v>1238</v>
      </c>
      <c r="G485" s="10">
        <f t="shared" si="8"/>
        <v>5735144</v>
      </c>
    </row>
    <row r="486" spans="1:7" x14ac:dyDescent="0.2">
      <c r="A486" s="21">
        <v>44503</v>
      </c>
      <c r="B486" s="22" t="s">
        <v>355</v>
      </c>
      <c r="C486" s="23" t="s">
        <v>356</v>
      </c>
      <c r="D486" s="22" t="s">
        <v>9</v>
      </c>
      <c r="E486" s="24"/>
      <c r="F486" s="24">
        <v>270000</v>
      </c>
      <c r="G486" s="10">
        <f t="shared" si="8"/>
        <v>5465144</v>
      </c>
    </row>
    <row r="487" spans="1:7" x14ac:dyDescent="0.2">
      <c r="A487" s="13">
        <v>44504</v>
      </c>
      <c r="C487" s="2" t="s">
        <v>292</v>
      </c>
      <c r="D487" s="1" t="s">
        <v>9</v>
      </c>
      <c r="E487" s="3">
        <v>3656520</v>
      </c>
      <c r="G487" s="10">
        <f t="shared" si="8"/>
        <v>9121664</v>
      </c>
    </row>
    <row r="488" spans="1:7" x14ac:dyDescent="0.2">
      <c r="A488" s="13">
        <v>44504</v>
      </c>
      <c r="C488" s="23" t="s">
        <v>357</v>
      </c>
      <c r="D488" s="1" t="s">
        <v>9</v>
      </c>
      <c r="E488" s="3">
        <f>401684+9145+64456+304912+734668</f>
        <v>1514865</v>
      </c>
      <c r="G488" s="10">
        <f t="shared" si="8"/>
        <v>10636529</v>
      </c>
    </row>
    <row r="489" spans="1:7" x14ac:dyDescent="0.2">
      <c r="A489" s="13">
        <v>44505</v>
      </c>
      <c r="B489" s="1" t="s">
        <v>367</v>
      </c>
      <c r="C489" s="2" t="s">
        <v>154</v>
      </c>
      <c r="D489" s="1" t="s">
        <v>9</v>
      </c>
      <c r="F489" s="3">
        <v>269185</v>
      </c>
      <c r="G489" s="10">
        <f t="shared" si="8"/>
        <v>10367344</v>
      </c>
    </row>
    <row r="490" spans="1:7" x14ac:dyDescent="0.2">
      <c r="A490" s="13">
        <v>44508</v>
      </c>
      <c r="C490" s="23" t="s">
        <v>368</v>
      </c>
      <c r="D490" s="1" t="s">
        <v>9</v>
      </c>
      <c r="E490" s="3">
        <f>361080+33996+972590</f>
        <v>1367666</v>
      </c>
      <c r="G490" s="10">
        <f t="shared" si="8"/>
        <v>11735010</v>
      </c>
    </row>
    <row r="491" spans="1:7" x14ac:dyDescent="0.2">
      <c r="A491" s="13">
        <v>44509</v>
      </c>
      <c r="C491" s="23" t="s">
        <v>165</v>
      </c>
      <c r="D491" s="1" t="s">
        <v>9</v>
      </c>
      <c r="E491" s="3">
        <v>16800</v>
      </c>
      <c r="G491" s="10">
        <f t="shared" si="8"/>
        <v>11751810</v>
      </c>
    </row>
    <row r="492" spans="1:7" x14ac:dyDescent="0.2">
      <c r="A492" s="13">
        <v>44510</v>
      </c>
      <c r="C492" s="2" t="s">
        <v>359</v>
      </c>
      <c r="D492" s="1" t="s">
        <v>9</v>
      </c>
      <c r="F492" s="3">
        <f>678500+275</f>
        <v>678775</v>
      </c>
      <c r="G492" s="10">
        <f t="shared" si="8"/>
        <v>11073035</v>
      </c>
    </row>
    <row r="493" spans="1:7" x14ac:dyDescent="0.2">
      <c r="A493" s="13">
        <v>44510</v>
      </c>
      <c r="C493" s="2" t="s">
        <v>360</v>
      </c>
      <c r="D493" s="1" t="s">
        <v>9</v>
      </c>
      <c r="F493" s="3">
        <f>1532278+275</f>
        <v>1532553</v>
      </c>
      <c r="G493" s="10">
        <f t="shared" si="8"/>
        <v>9540482</v>
      </c>
    </row>
    <row r="494" spans="1:7" x14ac:dyDescent="0.2">
      <c r="A494" s="13">
        <v>44510</v>
      </c>
      <c r="C494" s="2" t="s">
        <v>361</v>
      </c>
      <c r="D494" s="1" t="s">
        <v>9</v>
      </c>
      <c r="F494" s="3">
        <f>146078+275</f>
        <v>146353</v>
      </c>
      <c r="G494" s="10">
        <f t="shared" si="8"/>
        <v>9394129</v>
      </c>
    </row>
    <row r="495" spans="1:7" x14ac:dyDescent="0.2">
      <c r="A495" s="13">
        <v>44510</v>
      </c>
      <c r="C495" s="2" t="s">
        <v>362</v>
      </c>
      <c r="D495" s="1" t="s">
        <v>9</v>
      </c>
      <c r="F495" s="3">
        <f>983232+275</f>
        <v>983507</v>
      </c>
      <c r="G495" s="10">
        <f t="shared" si="8"/>
        <v>8410622</v>
      </c>
    </row>
    <row r="496" spans="1:7" x14ac:dyDescent="0.2">
      <c r="A496" s="13">
        <v>44510</v>
      </c>
      <c r="C496" s="2" t="s">
        <v>363</v>
      </c>
      <c r="D496" s="1" t="s">
        <v>9</v>
      </c>
      <c r="F496" s="3">
        <f>182520</f>
        <v>182520</v>
      </c>
      <c r="G496" s="10">
        <f t="shared" si="8"/>
        <v>8228102</v>
      </c>
    </row>
    <row r="497" spans="1:7" x14ac:dyDescent="0.2">
      <c r="A497" s="13">
        <v>44510</v>
      </c>
      <c r="C497" s="2" t="s">
        <v>364</v>
      </c>
      <c r="D497" s="1" t="s">
        <v>9</v>
      </c>
      <c r="F497" s="3">
        <f>1173000+275</f>
        <v>1173275</v>
      </c>
      <c r="G497" s="10">
        <f t="shared" si="8"/>
        <v>7054827</v>
      </c>
    </row>
    <row r="498" spans="1:7" x14ac:dyDescent="0.2">
      <c r="A498" s="13">
        <v>44510</v>
      </c>
      <c r="C498" s="2" t="s">
        <v>365</v>
      </c>
      <c r="D498" s="1" t="s">
        <v>9</v>
      </c>
      <c r="F498" s="3">
        <f>432906</f>
        <v>432906</v>
      </c>
      <c r="G498" s="10">
        <f t="shared" si="8"/>
        <v>6621921</v>
      </c>
    </row>
    <row r="499" spans="1:7" x14ac:dyDescent="0.2">
      <c r="A499" s="13">
        <v>44510</v>
      </c>
      <c r="C499" s="2" t="s">
        <v>366</v>
      </c>
      <c r="D499" s="1" t="s">
        <v>9</v>
      </c>
      <c r="F499" s="3">
        <f>205970</f>
        <v>205970</v>
      </c>
      <c r="G499" s="10">
        <f t="shared" si="8"/>
        <v>6415951</v>
      </c>
    </row>
    <row r="500" spans="1:7" x14ac:dyDescent="0.2">
      <c r="A500" s="13">
        <v>44510</v>
      </c>
      <c r="B500" s="1" t="s">
        <v>374</v>
      </c>
      <c r="C500" s="2" t="s">
        <v>375</v>
      </c>
      <c r="D500" s="1" t="s">
        <v>9</v>
      </c>
      <c r="F500" s="3">
        <v>207000</v>
      </c>
      <c r="G500" s="10">
        <f t="shared" si="8"/>
        <v>6208951</v>
      </c>
    </row>
    <row r="501" spans="1:7" x14ac:dyDescent="0.2">
      <c r="A501" s="13">
        <v>44510</v>
      </c>
      <c r="C501" s="23" t="s">
        <v>369</v>
      </c>
      <c r="D501" s="1" t="s">
        <v>9</v>
      </c>
      <c r="E501" s="3">
        <f>187443+421967+44250+280408</f>
        <v>934068</v>
      </c>
      <c r="G501" s="10">
        <f t="shared" si="8"/>
        <v>7143019</v>
      </c>
    </row>
    <row r="502" spans="1:7" x14ac:dyDescent="0.2">
      <c r="A502" s="13">
        <v>44510</v>
      </c>
      <c r="C502" s="23" t="s">
        <v>370</v>
      </c>
      <c r="D502" s="1" t="s">
        <v>9</v>
      </c>
      <c r="E502" s="3">
        <f>1168108+52215+644820</f>
        <v>1865143</v>
      </c>
      <c r="G502" s="10">
        <f t="shared" ref="G502:G565" si="9">G501+E502-F502</f>
        <v>9008162</v>
      </c>
    </row>
    <row r="503" spans="1:7" x14ac:dyDescent="0.2">
      <c r="A503" s="13">
        <v>44511</v>
      </c>
      <c r="C503" s="2" t="s">
        <v>84</v>
      </c>
      <c r="D503" s="1" t="s">
        <v>9</v>
      </c>
      <c r="F503" s="3">
        <v>185185</v>
      </c>
      <c r="G503" s="10">
        <f t="shared" si="9"/>
        <v>8822977</v>
      </c>
    </row>
    <row r="504" spans="1:7" x14ac:dyDescent="0.2">
      <c r="A504" s="13">
        <v>44512</v>
      </c>
      <c r="C504" s="2" t="s">
        <v>35</v>
      </c>
      <c r="D504" s="1" t="s">
        <v>9</v>
      </c>
      <c r="F504" s="3">
        <v>6600</v>
      </c>
      <c r="G504" s="10">
        <f t="shared" si="9"/>
        <v>8816377</v>
      </c>
    </row>
    <row r="505" spans="1:7" x14ac:dyDescent="0.2">
      <c r="A505" s="13">
        <v>44512</v>
      </c>
      <c r="C505" s="2" t="s">
        <v>35</v>
      </c>
      <c r="D505" s="1" t="s">
        <v>9</v>
      </c>
      <c r="F505" s="3">
        <v>6600</v>
      </c>
      <c r="G505" s="10">
        <f t="shared" si="9"/>
        <v>8809777</v>
      </c>
    </row>
    <row r="506" spans="1:7" x14ac:dyDescent="0.2">
      <c r="A506" s="13">
        <v>44515</v>
      </c>
      <c r="C506" s="2" t="s">
        <v>371</v>
      </c>
      <c r="D506" s="1" t="s">
        <v>9</v>
      </c>
      <c r="F506" s="3">
        <f>400506</f>
        <v>400506</v>
      </c>
      <c r="G506" s="10">
        <f t="shared" si="9"/>
        <v>8409271</v>
      </c>
    </row>
    <row r="507" spans="1:7" x14ac:dyDescent="0.2">
      <c r="A507" s="13">
        <v>44516</v>
      </c>
      <c r="C507" s="23" t="s">
        <v>373</v>
      </c>
      <c r="D507" s="1" t="s">
        <v>9</v>
      </c>
      <c r="E507" s="3">
        <f>954738+531528+136880+129144+187812+72334+132915</f>
        <v>2145351</v>
      </c>
      <c r="G507" s="10">
        <f t="shared" si="9"/>
        <v>10554622</v>
      </c>
    </row>
    <row r="508" spans="1:7" x14ac:dyDescent="0.2">
      <c r="A508" s="13">
        <v>44516</v>
      </c>
      <c r="C508" s="23" t="s">
        <v>372</v>
      </c>
      <c r="D508" s="1" t="s">
        <v>9</v>
      </c>
      <c r="E508" s="3">
        <f>5605+236738+42177+220365+57850+144322</f>
        <v>707057</v>
      </c>
      <c r="G508" s="10">
        <f t="shared" si="9"/>
        <v>11261679</v>
      </c>
    </row>
    <row r="509" spans="1:7" x14ac:dyDescent="0.2">
      <c r="A509" s="13">
        <v>44516</v>
      </c>
      <c r="C509" s="2" t="s">
        <v>35</v>
      </c>
      <c r="D509" s="1" t="s">
        <v>9</v>
      </c>
      <c r="F509" s="3">
        <v>6600</v>
      </c>
      <c r="G509" s="10">
        <f t="shared" si="9"/>
        <v>11255079</v>
      </c>
    </row>
    <row r="510" spans="1:7" x14ac:dyDescent="0.2">
      <c r="A510" s="13">
        <v>44518</v>
      </c>
      <c r="C510" s="2" t="s">
        <v>35</v>
      </c>
      <c r="D510" s="1" t="s">
        <v>9</v>
      </c>
      <c r="F510" s="3">
        <v>6600</v>
      </c>
      <c r="G510" s="10">
        <f t="shared" si="9"/>
        <v>11248479</v>
      </c>
    </row>
    <row r="511" spans="1:7" x14ac:dyDescent="0.2">
      <c r="A511" s="13">
        <v>44519</v>
      </c>
      <c r="C511" s="2" t="s">
        <v>377</v>
      </c>
      <c r="D511" s="1" t="s">
        <v>9</v>
      </c>
      <c r="E511" s="3">
        <v>600000</v>
      </c>
      <c r="G511" s="10">
        <f t="shared" si="9"/>
        <v>11848479</v>
      </c>
    </row>
    <row r="512" spans="1:7" x14ac:dyDescent="0.2">
      <c r="A512" s="13">
        <v>44519</v>
      </c>
      <c r="C512" s="23" t="s">
        <v>911</v>
      </c>
      <c r="D512" s="1" t="s">
        <v>9</v>
      </c>
      <c r="E512" s="3">
        <v>600000</v>
      </c>
      <c r="G512" s="10">
        <f t="shared" si="9"/>
        <v>12448479</v>
      </c>
    </row>
    <row r="513" spans="1:7" x14ac:dyDescent="0.2">
      <c r="A513" s="13">
        <v>44519</v>
      </c>
      <c r="C513" s="2" t="s">
        <v>53</v>
      </c>
      <c r="D513" s="1" t="s">
        <v>9</v>
      </c>
      <c r="F513" s="3">
        <v>100</v>
      </c>
      <c r="G513" s="10">
        <f t="shared" si="9"/>
        <v>12448379</v>
      </c>
    </row>
    <row r="514" spans="1:7" x14ac:dyDescent="0.2">
      <c r="A514" s="13">
        <v>44519</v>
      </c>
      <c r="C514" s="2" t="s">
        <v>76</v>
      </c>
      <c r="D514" s="1" t="s">
        <v>9</v>
      </c>
      <c r="E514" s="3">
        <v>211343</v>
      </c>
      <c r="G514" s="10">
        <f t="shared" si="9"/>
        <v>12659722</v>
      </c>
    </row>
    <row r="515" spans="1:7" x14ac:dyDescent="0.2">
      <c r="A515" s="13">
        <v>44519</v>
      </c>
      <c r="C515" s="2" t="s">
        <v>116</v>
      </c>
      <c r="D515" s="1" t="s">
        <v>9</v>
      </c>
      <c r="E515" s="3">
        <v>147094</v>
      </c>
      <c r="G515" s="10">
        <f t="shared" si="9"/>
        <v>12806816</v>
      </c>
    </row>
    <row r="516" spans="1:7" x14ac:dyDescent="0.2">
      <c r="A516" s="13">
        <v>44523</v>
      </c>
      <c r="C516" s="2" t="s">
        <v>378</v>
      </c>
      <c r="D516" s="1" t="s">
        <v>9</v>
      </c>
      <c r="E516" s="3">
        <v>406717</v>
      </c>
      <c r="G516" s="10">
        <f t="shared" si="9"/>
        <v>13213533</v>
      </c>
    </row>
    <row r="517" spans="1:7" x14ac:dyDescent="0.2">
      <c r="A517" s="13">
        <v>44525</v>
      </c>
      <c r="C517" s="2" t="s">
        <v>376</v>
      </c>
      <c r="D517" s="1" t="s">
        <v>9</v>
      </c>
      <c r="F517" s="3">
        <f>1474830</f>
        <v>1474830</v>
      </c>
      <c r="G517" s="10">
        <f t="shared" si="9"/>
        <v>11738703</v>
      </c>
    </row>
    <row r="518" spans="1:7" x14ac:dyDescent="0.2">
      <c r="A518" s="13">
        <v>44525</v>
      </c>
      <c r="C518" s="2" t="s">
        <v>27</v>
      </c>
      <c r="D518" s="1" t="s">
        <v>9</v>
      </c>
      <c r="F518" s="3">
        <v>150000</v>
      </c>
      <c r="G518" s="10">
        <f t="shared" si="9"/>
        <v>11588703</v>
      </c>
    </row>
    <row r="519" spans="1:7" x14ac:dyDescent="0.2">
      <c r="A519" s="13">
        <v>44525</v>
      </c>
      <c r="C519" s="2" t="s">
        <v>379</v>
      </c>
      <c r="D519" s="1" t="s">
        <v>9</v>
      </c>
      <c r="E519" s="3">
        <f>259619+64918+3160+5758+45312+8700</f>
        <v>387467</v>
      </c>
      <c r="G519" s="10">
        <f t="shared" si="9"/>
        <v>11976170</v>
      </c>
    </row>
    <row r="520" spans="1:7" x14ac:dyDescent="0.2">
      <c r="A520" s="13">
        <v>44526</v>
      </c>
      <c r="C520" s="2" t="s">
        <v>35</v>
      </c>
      <c r="D520" s="1" t="s">
        <v>9</v>
      </c>
      <c r="F520" s="3">
        <v>6600</v>
      </c>
      <c r="G520" s="10">
        <f t="shared" si="9"/>
        <v>11969570</v>
      </c>
    </row>
    <row r="521" spans="1:7" x14ac:dyDescent="0.2">
      <c r="A521" s="13">
        <v>44529</v>
      </c>
      <c r="C521" s="2" t="s">
        <v>35</v>
      </c>
      <c r="D521" s="1" t="s">
        <v>9</v>
      </c>
      <c r="F521" s="3">
        <v>6600</v>
      </c>
      <c r="G521" s="10">
        <f t="shared" si="9"/>
        <v>11962970</v>
      </c>
    </row>
    <row r="522" spans="1:7" x14ac:dyDescent="0.2">
      <c r="A522" s="13">
        <v>44530</v>
      </c>
      <c r="C522" s="2" t="s">
        <v>381</v>
      </c>
      <c r="D522" s="1" t="s">
        <v>9</v>
      </c>
      <c r="F522" s="3">
        <v>27788</v>
      </c>
      <c r="G522" s="10">
        <f t="shared" si="9"/>
        <v>11935182</v>
      </c>
    </row>
    <row r="523" spans="1:7" x14ac:dyDescent="0.2">
      <c r="A523" s="13">
        <v>44530</v>
      </c>
      <c r="C523" s="2" t="s">
        <v>21</v>
      </c>
      <c r="D523" s="1" t="s">
        <v>9</v>
      </c>
      <c r="E523" s="3">
        <v>661808</v>
      </c>
      <c r="G523" s="10">
        <f t="shared" si="9"/>
        <v>12596990</v>
      </c>
    </row>
    <row r="524" spans="1:7" x14ac:dyDescent="0.2">
      <c r="A524" s="13">
        <v>44530</v>
      </c>
      <c r="C524" s="2" t="s">
        <v>380</v>
      </c>
      <c r="D524" s="1" t="s">
        <v>9</v>
      </c>
      <c r="E524" s="3">
        <f>118236+59517+125476+363789+52056+67968+95438+50180</f>
        <v>932660</v>
      </c>
      <c r="G524" s="10">
        <f t="shared" si="9"/>
        <v>13529650</v>
      </c>
    </row>
    <row r="525" spans="1:7" ht="15.75" x14ac:dyDescent="0.25">
      <c r="A525" s="11" t="s">
        <v>383</v>
      </c>
      <c r="G525" s="10"/>
    </row>
    <row r="526" spans="1:7" x14ac:dyDescent="0.2">
      <c r="A526" s="12" t="s">
        <v>2</v>
      </c>
      <c r="B526" s="5" t="s">
        <v>1</v>
      </c>
      <c r="C526" s="5" t="s">
        <v>3</v>
      </c>
      <c r="D526" s="5"/>
      <c r="E526" s="8" t="s">
        <v>4</v>
      </c>
      <c r="F526" s="8" t="s">
        <v>6</v>
      </c>
      <c r="G526" s="9" t="s">
        <v>5</v>
      </c>
    </row>
    <row r="527" spans="1:7" x14ac:dyDescent="0.2">
      <c r="A527" s="13">
        <v>44531</v>
      </c>
      <c r="C527" s="2" t="s">
        <v>35</v>
      </c>
      <c r="D527" s="1" t="s">
        <v>9</v>
      </c>
      <c r="F527" s="3">
        <v>6600</v>
      </c>
      <c r="G527" s="10">
        <f>G524+E527-F527</f>
        <v>13523050</v>
      </c>
    </row>
    <row r="528" spans="1:7" x14ac:dyDescent="0.2">
      <c r="A528" s="13">
        <v>44531</v>
      </c>
      <c r="C528" s="2" t="s">
        <v>35</v>
      </c>
      <c r="D528" s="1" t="s">
        <v>9</v>
      </c>
      <c r="F528" s="3">
        <v>6600</v>
      </c>
      <c r="G528" s="10">
        <f t="shared" si="9"/>
        <v>13516450</v>
      </c>
    </row>
    <row r="529" spans="1:7" x14ac:dyDescent="0.2">
      <c r="A529" s="13">
        <v>44532</v>
      </c>
      <c r="C529" s="2" t="s">
        <v>382</v>
      </c>
      <c r="D529" s="1" t="s">
        <v>9</v>
      </c>
      <c r="F529" s="3">
        <v>2673998</v>
      </c>
      <c r="G529" s="10">
        <f t="shared" si="9"/>
        <v>10842452</v>
      </c>
    </row>
    <row r="530" spans="1:7" x14ac:dyDescent="0.2">
      <c r="A530" s="13">
        <v>44532</v>
      </c>
      <c r="C530" s="2" t="s">
        <v>34</v>
      </c>
      <c r="D530" s="1" t="s">
        <v>9</v>
      </c>
      <c r="F530" s="3">
        <v>1238</v>
      </c>
      <c r="G530" s="10">
        <f t="shared" si="9"/>
        <v>10841214</v>
      </c>
    </row>
    <row r="531" spans="1:7" x14ac:dyDescent="0.2">
      <c r="A531" s="13">
        <v>44532</v>
      </c>
      <c r="C531" s="2" t="s">
        <v>35</v>
      </c>
      <c r="D531" s="1" t="s">
        <v>9</v>
      </c>
      <c r="F531" s="3">
        <v>6600</v>
      </c>
      <c r="G531" s="10">
        <f t="shared" si="9"/>
        <v>10834614</v>
      </c>
    </row>
    <row r="532" spans="1:7" x14ac:dyDescent="0.2">
      <c r="A532" s="13">
        <v>44533</v>
      </c>
      <c r="C532" s="2" t="s">
        <v>385</v>
      </c>
      <c r="D532" s="1" t="s">
        <v>9</v>
      </c>
      <c r="F532" s="3">
        <f>2377116+85367</f>
        <v>2462483</v>
      </c>
      <c r="G532" s="10">
        <f t="shared" si="9"/>
        <v>8372131</v>
      </c>
    </row>
    <row r="533" spans="1:7" x14ac:dyDescent="0.2">
      <c r="A533" s="13">
        <v>44533</v>
      </c>
      <c r="C533" s="2" t="s">
        <v>384</v>
      </c>
      <c r="D533" s="1" t="s">
        <v>9</v>
      </c>
      <c r="F533" s="3">
        <f>5079888+138748</f>
        <v>5218636</v>
      </c>
      <c r="G533" s="10">
        <f t="shared" si="9"/>
        <v>3153495</v>
      </c>
    </row>
    <row r="534" spans="1:7" x14ac:dyDescent="0.2">
      <c r="A534" s="13">
        <v>44533</v>
      </c>
      <c r="C534" s="23" t="s">
        <v>386</v>
      </c>
      <c r="D534" s="1" t="s">
        <v>9</v>
      </c>
      <c r="E534" s="3">
        <v>4035525</v>
      </c>
      <c r="G534" s="10">
        <f t="shared" si="9"/>
        <v>7189020</v>
      </c>
    </row>
    <row r="535" spans="1:7" x14ac:dyDescent="0.2">
      <c r="A535" s="13">
        <v>44533</v>
      </c>
      <c r="C535" s="23" t="s">
        <v>387</v>
      </c>
      <c r="D535" s="1" t="s">
        <v>9</v>
      </c>
      <c r="E535" s="3">
        <f>40120+38940+278002+446537</f>
        <v>803599</v>
      </c>
      <c r="G535" s="10">
        <f t="shared" si="9"/>
        <v>7992619</v>
      </c>
    </row>
    <row r="536" spans="1:7" x14ac:dyDescent="0.2">
      <c r="A536" s="13">
        <v>44533</v>
      </c>
      <c r="C536" s="2" t="s">
        <v>35</v>
      </c>
      <c r="D536" s="1" t="s">
        <v>9</v>
      </c>
      <c r="F536" s="3">
        <v>6600</v>
      </c>
      <c r="G536" s="10">
        <f t="shared" si="9"/>
        <v>7986019</v>
      </c>
    </row>
    <row r="537" spans="1:7" x14ac:dyDescent="0.2">
      <c r="A537" s="13">
        <v>44536</v>
      </c>
      <c r="C537" s="2" t="s">
        <v>18</v>
      </c>
      <c r="D537" s="1" t="s">
        <v>9</v>
      </c>
      <c r="E537" s="3">
        <v>276899</v>
      </c>
      <c r="G537" s="10">
        <f t="shared" si="9"/>
        <v>8262918</v>
      </c>
    </row>
    <row r="538" spans="1:7" x14ac:dyDescent="0.2">
      <c r="A538" s="13">
        <v>44536</v>
      </c>
      <c r="C538" s="2" t="s">
        <v>189</v>
      </c>
      <c r="D538" s="1" t="s">
        <v>9</v>
      </c>
      <c r="E538" s="3">
        <v>270692</v>
      </c>
      <c r="G538" s="10">
        <f t="shared" si="9"/>
        <v>8533610</v>
      </c>
    </row>
    <row r="539" spans="1:7" x14ac:dyDescent="0.2">
      <c r="A539" s="13">
        <v>44537</v>
      </c>
      <c r="C539" s="2" t="s">
        <v>394</v>
      </c>
      <c r="D539" s="1" t="s">
        <v>9</v>
      </c>
      <c r="F539" s="3">
        <f>1006094</f>
        <v>1006094</v>
      </c>
      <c r="G539" s="10">
        <f t="shared" si="9"/>
        <v>7527516</v>
      </c>
    </row>
    <row r="540" spans="1:7" x14ac:dyDescent="0.2">
      <c r="A540" s="13">
        <v>44537</v>
      </c>
      <c r="C540" s="2" t="s">
        <v>18</v>
      </c>
      <c r="D540" s="1" t="s">
        <v>9</v>
      </c>
      <c r="E540" s="3">
        <v>143429</v>
      </c>
      <c r="G540" s="10">
        <f t="shared" si="9"/>
        <v>7670945</v>
      </c>
    </row>
    <row r="541" spans="1:7" x14ac:dyDescent="0.2">
      <c r="A541" s="13">
        <v>44537</v>
      </c>
      <c r="C541" s="2" t="s">
        <v>18</v>
      </c>
      <c r="D541" s="1" t="s">
        <v>9</v>
      </c>
      <c r="E541" s="3">
        <v>16550</v>
      </c>
      <c r="G541" s="10">
        <f t="shared" si="9"/>
        <v>7687495</v>
      </c>
    </row>
    <row r="542" spans="1:7" x14ac:dyDescent="0.2">
      <c r="A542" s="13">
        <v>44538</v>
      </c>
      <c r="C542" s="2" t="s">
        <v>201</v>
      </c>
      <c r="D542" s="1" t="s">
        <v>9</v>
      </c>
      <c r="E542" s="3">
        <v>91850</v>
      </c>
      <c r="G542" s="10">
        <f t="shared" si="9"/>
        <v>7779345</v>
      </c>
    </row>
    <row r="543" spans="1:7" x14ac:dyDescent="0.2">
      <c r="A543" s="13">
        <v>44538</v>
      </c>
      <c r="C543" s="23" t="s">
        <v>395</v>
      </c>
      <c r="D543" s="1" t="s">
        <v>9</v>
      </c>
      <c r="E543" s="3">
        <f>1061823+80164</f>
        <v>1141987</v>
      </c>
      <c r="G543" s="10">
        <f t="shared" si="9"/>
        <v>8921332</v>
      </c>
    </row>
    <row r="544" spans="1:7" x14ac:dyDescent="0.2">
      <c r="A544" s="13">
        <v>44539</v>
      </c>
      <c r="C544" s="23" t="s">
        <v>323</v>
      </c>
      <c r="D544" s="1" t="s">
        <v>9</v>
      </c>
      <c r="E544" s="3">
        <v>150450</v>
      </c>
      <c r="G544" s="10">
        <f t="shared" si="9"/>
        <v>9071782</v>
      </c>
    </row>
    <row r="545" spans="1:7" x14ac:dyDescent="0.2">
      <c r="A545" s="13">
        <v>44539</v>
      </c>
      <c r="C545" s="23" t="s">
        <v>397</v>
      </c>
      <c r="D545" s="1" t="s">
        <v>9</v>
      </c>
      <c r="E545" s="3">
        <f>211979+174942+96520+547032+40371+287781+154212+43967</f>
        <v>1556804</v>
      </c>
      <c r="G545" s="10">
        <f t="shared" si="9"/>
        <v>10628586</v>
      </c>
    </row>
    <row r="546" spans="1:7" x14ac:dyDescent="0.2">
      <c r="A546" s="21">
        <v>44539</v>
      </c>
      <c r="B546" s="22" t="s">
        <v>398</v>
      </c>
      <c r="C546" s="23" t="s">
        <v>415</v>
      </c>
      <c r="D546" s="22" t="s">
        <v>9</v>
      </c>
      <c r="E546" s="24"/>
      <c r="F546" s="24">
        <v>275500</v>
      </c>
      <c r="G546" s="10">
        <f t="shared" si="9"/>
        <v>10353086</v>
      </c>
    </row>
    <row r="547" spans="1:7" x14ac:dyDescent="0.2">
      <c r="A547" s="13">
        <v>44540</v>
      </c>
      <c r="C547" s="2" t="s">
        <v>388</v>
      </c>
      <c r="D547" s="1" t="s">
        <v>9</v>
      </c>
      <c r="F547" s="3">
        <f>678500+275</f>
        <v>678775</v>
      </c>
      <c r="G547" s="10">
        <f t="shared" si="9"/>
        <v>9674311</v>
      </c>
    </row>
    <row r="548" spans="1:7" x14ac:dyDescent="0.2">
      <c r="A548" s="13">
        <v>44540</v>
      </c>
      <c r="C548" s="2" t="s">
        <v>389</v>
      </c>
      <c r="D548" s="1" t="s">
        <v>9</v>
      </c>
      <c r="F548" s="3">
        <f>500000+275</f>
        <v>500275</v>
      </c>
      <c r="G548" s="10">
        <f t="shared" si="9"/>
        <v>9174036</v>
      </c>
    </row>
    <row r="549" spans="1:7" x14ac:dyDescent="0.2">
      <c r="A549" s="13">
        <v>44540</v>
      </c>
      <c r="C549" s="2" t="s">
        <v>365</v>
      </c>
      <c r="D549" s="1" t="s">
        <v>9</v>
      </c>
      <c r="F549" s="3">
        <f>432906</f>
        <v>432906</v>
      </c>
      <c r="G549" s="10">
        <f t="shared" si="9"/>
        <v>8741130</v>
      </c>
    </row>
    <row r="550" spans="1:7" x14ac:dyDescent="0.2">
      <c r="A550" s="13">
        <v>44540</v>
      </c>
      <c r="C550" s="2" t="s">
        <v>390</v>
      </c>
      <c r="D550" s="1" t="s">
        <v>9</v>
      </c>
      <c r="F550" s="3">
        <f>346478+275</f>
        <v>346753</v>
      </c>
      <c r="G550" s="10">
        <f t="shared" si="9"/>
        <v>8394377</v>
      </c>
    </row>
    <row r="551" spans="1:7" x14ac:dyDescent="0.2">
      <c r="A551" s="13">
        <v>44540</v>
      </c>
      <c r="C551" s="2" t="s">
        <v>391</v>
      </c>
      <c r="D551" s="1" t="s">
        <v>9</v>
      </c>
      <c r="F551" s="3">
        <f>385699</f>
        <v>385699</v>
      </c>
      <c r="G551" s="10">
        <f t="shared" si="9"/>
        <v>8008678</v>
      </c>
    </row>
    <row r="552" spans="1:7" x14ac:dyDescent="0.2">
      <c r="A552" s="13">
        <v>44540</v>
      </c>
      <c r="C552" s="2" t="s">
        <v>392</v>
      </c>
      <c r="D552" s="1" t="s">
        <v>9</v>
      </c>
      <c r="F552" s="3">
        <f>850000+275</f>
        <v>850275</v>
      </c>
      <c r="G552" s="10">
        <f t="shared" si="9"/>
        <v>7158403</v>
      </c>
    </row>
    <row r="553" spans="1:7" x14ac:dyDescent="0.2">
      <c r="A553" s="13">
        <v>44540</v>
      </c>
      <c r="C553" s="23" t="s">
        <v>396</v>
      </c>
      <c r="D553" s="1" t="s">
        <v>9</v>
      </c>
      <c r="E553" s="3">
        <f>114950+5310+106613+551237+1806868</f>
        <v>2584978</v>
      </c>
      <c r="G553" s="10">
        <f t="shared" si="9"/>
        <v>9743381</v>
      </c>
    </row>
    <row r="554" spans="1:7" x14ac:dyDescent="0.2">
      <c r="A554" s="13">
        <v>44540</v>
      </c>
      <c r="C554" s="2" t="s">
        <v>84</v>
      </c>
      <c r="D554" s="1" t="s">
        <v>9</v>
      </c>
      <c r="F554" s="3">
        <v>185185</v>
      </c>
      <c r="G554" s="10">
        <f t="shared" si="9"/>
        <v>9558196</v>
      </c>
    </row>
    <row r="555" spans="1:7" x14ac:dyDescent="0.2">
      <c r="A555" s="21">
        <v>44544</v>
      </c>
      <c r="B555" s="22" t="s">
        <v>399</v>
      </c>
      <c r="C555" s="23" t="s">
        <v>154</v>
      </c>
      <c r="D555" s="22" t="s">
        <v>9</v>
      </c>
      <c r="E555" s="24"/>
      <c r="F555" s="24">
        <v>226580</v>
      </c>
      <c r="G555" s="10">
        <f t="shared" si="9"/>
        <v>9331616</v>
      </c>
    </row>
    <row r="556" spans="1:7" x14ac:dyDescent="0.2">
      <c r="A556" s="13">
        <v>44545</v>
      </c>
      <c r="C556" s="2" t="s">
        <v>393</v>
      </c>
      <c r="D556" s="1" t="s">
        <v>9</v>
      </c>
      <c r="F556" s="3">
        <f>1560000</f>
        <v>1560000</v>
      </c>
      <c r="G556" s="10">
        <f t="shared" si="9"/>
        <v>7771616</v>
      </c>
    </row>
    <row r="557" spans="1:7" x14ac:dyDescent="0.2">
      <c r="A557" s="13">
        <v>44545</v>
      </c>
      <c r="C557" s="2" t="s">
        <v>34</v>
      </c>
      <c r="D557" s="1" t="s">
        <v>9</v>
      </c>
      <c r="F557" s="3">
        <v>1238</v>
      </c>
      <c r="G557" s="10">
        <f t="shared" si="9"/>
        <v>7770378</v>
      </c>
    </row>
    <row r="558" spans="1:7" x14ac:dyDescent="0.2">
      <c r="A558" s="13">
        <v>44545</v>
      </c>
      <c r="C558" s="23" t="s">
        <v>400</v>
      </c>
      <c r="D558" s="1" t="s">
        <v>9</v>
      </c>
      <c r="E558" s="3">
        <f>81531+364688+89680+188000</f>
        <v>723899</v>
      </c>
      <c r="G558" s="10">
        <f t="shared" si="9"/>
        <v>8494277</v>
      </c>
    </row>
    <row r="559" spans="1:7" x14ac:dyDescent="0.2">
      <c r="A559" s="13">
        <v>44546</v>
      </c>
      <c r="C559" s="2" t="s">
        <v>15</v>
      </c>
      <c r="D559" s="1" t="s">
        <v>9</v>
      </c>
      <c r="E559" s="3">
        <v>125375</v>
      </c>
      <c r="G559" s="10">
        <f t="shared" si="9"/>
        <v>8619652</v>
      </c>
    </row>
    <row r="560" spans="1:7" x14ac:dyDescent="0.2">
      <c r="A560" s="13">
        <v>44546</v>
      </c>
      <c r="C560" s="2" t="s">
        <v>144</v>
      </c>
      <c r="D560" s="1" t="s">
        <v>9</v>
      </c>
      <c r="E560" s="3">
        <v>326928</v>
      </c>
      <c r="G560" s="10">
        <f t="shared" si="9"/>
        <v>8946580</v>
      </c>
    </row>
    <row r="561" spans="1:7" x14ac:dyDescent="0.2">
      <c r="A561" s="13">
        <v>44547</v>
      </c>
      <c r="C561" s="2" t="s">
        <v>45</v>
      </c>
      <c r="D561" s="1" t="s">
        <v>9</v>
      </c>
      <c r="E561" s="3">
        <v>410109</v>
      </c>
      <c r="G561" s="10">
        <f t="shared" si="9"/>
        <v>9356689</v>
      </c>
    </row>
    <row r="562" spans="1:7" x14ac:dyDescent="0.2">
      <c r="A562" s="13">
        <v>44547</v>
      </c>
      <c r="C562" s="2" t="s">
        <v>76</v>
      </c>
      <c r="D562" s="1" t="s">
        <v>9</v>
      </c>
      <c r="E562" s="3">
        <v>16756</v>
      </c>
      <c r="G562" s="10">
        <f t="shared" si="9"/>
        <v>9373445</v>
      </c>
    </row>
    <row r="563" spans="1:7" x14ac:dyDescent="0.2">
      <c r="A563" s="13">
        <v>44550</v>
      </c>
      <c r="C563" s="2" t="s">
        <v>401</v>
      </c>
      <c r="D563" s="1" t="s">
        <v>9</v>
      </c>
      <c r="F563" s="3">
        <f>576067</f>
        <v>576067</v>
      </c>
      <c r="G563" s="10">
        <f t="shared" si="9"/>
        <v>8797378</v>
      </c>
    </row>
    <row r="564" spans="1:7" x14ac:dyDescent="0.2">
      <c r="A564" s="21">
        <v>44553</v>
      </c>
      <c r="B564" s="22"/>
      <c r="C564" s="23" t="s">
        <v>404</v>
      </c>
      <c r="D564" s="22" t="s">
        <v>9</v>
      </c>
      <c r="E564" s="24">
        <v>2513079</v>
      </c>
      <c r="G564" s="10">
        <f t="shared" si="9"/>
        <v>11310457</v>
      </c>
    </row>
    <row r="565" spans="1:7" x14ac:dyDescent="0.2">
      <c r="A565" s="21">
        <v>44553</v>
      </c>
      <c r="B565" s="22"/>
      <c r="C565" s="23" t="s">
        <v>405</v>
      </c>
      <c r="D565" s="22" t="s">
        <v>9</v>
      </c>
      <c r="E565" s="24">
        <f>36509+22568+55914+25179</f>
        <v>140170</v>
      </c>
      <c r="G565" s="10">
        <f t="shared" si="9"/>
        <v>11450627</v>
      </c>
    </row>
    <row r="566" spans="1:7" x14ac:dyDescent="0.2">
      <c r="A566" s="13">
        <v>44557</v>
      </c>
      <c r="C566" s="2" t="s">
        <v>27</v>
      </c>
      <c r="D566" s="1" t="s">
        <v>9</v>
      </c>
      <c r="F566" s="3">
        <v>150000</v>
      </c>
      <c r="G566" s="10">
        <f t="shared" ref="G566:G632" si="10">G565+E566-F566</f>
        <v>11300627</v>
      </c>
    </row>
    <row r="567" spans="1:7" x14ac:dyDescent="0.2">
      <c r="A567" s="21">
        <v>44557</v>
      </c>
      <c r="B567" s="22"/>
      <c r="C567" s="23" t="s">
        <v>403</v>
      </c>
      <c r="D567" s="22" t="s">
        <v>9</v>
      </c>
      <c r="E567" s="24">
        <f>1339715+26550</f>
        <v>1366265</v>
      </c>
      <c r="G567" s="10">
        <f t="shared" si="10"/>
        <v>12666892</v>
      </c>
    </row>
    <row r="568" spans="1:7" x14ac:dyDescent="0.2">
      <c r="A568" s="13">
        <v>44558</v>
      </c>
      <c r="C568" s="2" t="s">
        <v>35</v>
      </c>
      <c r="D568" s="1" t="s">
        <v>9</v>
      </c>
      <c r="F568" s="3">
        <v>6600</v>
      </c>
      <c r="G568" s="10">
        <f t="shared" si="10"/>
        <v>12660292</v>
      </c>
    </row>
    <row r="569" spans="1:7" x14ac:dyDescent="0.2">
      <c r="A569" s="13">
        <v>44558</v>
      </c>
      <c r="C569" s="2" t="s">
        <v>411</v>
      </c>
      <c r="D569" s="1" t="s">
        <v>9</v>
      </c>
      <c r="E569" s="3">
        <f>13039+576725+72128</f>
        <v>661892</v>
      </c>
      <c r="G569" s="10">
        <f t="shared" si="10"/>
        <v>13322184</v>
      </c>
    </row>
    <row r="570" spans="1:7" x14ac:dyDescent="0.2">
      <c r="A570" s="13">
        <v>44558</v>
      </c>
      <c r="C570" s="2" t="s">
        <v>409</v>
      </c>
      <c r="D570" s="1" t="s">
        <v>9</v>
      </c>
      <c r="E570" s="3">
        <v>500000</v>
      </c>
      <c r="G570" s="10">
        <f t="shared" si="10"/>
        <v>13822184</v>
      </c>
    </row>
    <row r="571" spans="1:7" x14ac:dyDescent="0.2">
      <c r="A571" s="13">
        <v>44558</v>
      </c>
      <c r="C571" s="2" t="s">
        <v>410</v>
      </c>
      <c r="D571" s="1" t="s">
        <v>9</v>
      </c>
      <c r="E571" s="3">
        <v>356578</v>
      </c>
      <c r="G571" s="10">
        <f t="shared" si="10"/>
        <v>14178762</v>
      </c>
    </row>
    <row r="572" spans="1:7" x14ac:dyDescent="0.2">
      <c r="A572" s="13">
        <v>44559</v>
      </c>
      <c r="C572" s="2" t="s">
        <v>402</v>
      </c>
      <c r="D572" s="1" t="s">
        <v>9</v>
      </c>
      <c r="F572" s="3">
        <f>2046633</f>
        <v>2046633</v>
      </c>
      <c r="G572" s="10">
        <f t="shared" si="10"/>
        <v>12132129</v>
      </c>
    </row>
    <row r="573" spans="1:7" x14ac:dyDescent="0.2">
      <c r="A573" s="13">
        <v>44560</v>
      </c>
      <c r="C573" s="2" t="s">
        <v>406</v>
      </c>
      <c r="D573" s="1" t="s">
        <v>9</v>
      </c>
      <c r="F573" s="3">
        <v>2289111</v>
      </c>
      <c r="G573" s="10">
        <f t="shared" si="10"/>
        <v>9843018</v>
      </c>
    </row>
    <row r="574" spans="1:7" x14ac:dyDescent="0.2">
      <c r="A574" s="13">
        <v>44560</v>
      </c>
      <c r="C574" s="2" t="s">
        <v>34</v>
      </c>
      <c r="D574" s="1" t="s">
        <v>9</v>
      </c>
      <c r="F574" s="3">
        <v>1100</v>
      </c>
      <c r="G574" s="10">
        <f t="shared" si="10"/>
        <v>9841918</v>
      </c>
    </row>
    <row r="575" spans="1:7" x14ac:dyDescent="0.2">
      <c r="A575" s="13">
        <v>44560</v>
      </c>
      <c r="C575" s="2" t="s">
        <v>84</v>
      </c>
      <c r="D575" s="1" t="s">
        <v>9</v>
      </c>
      <c r="F575" s="3">
        <v>185185</v>
      </c>
      <c r="G575" s="10">
        <f t="shared" si="10"/>
        <v>9656733</v>
      </c>
    </row>
    <row r="576" spans="1:7" x14ac:dyDescent="0.2">
      <c r="A576" s="13">
        <v>44561</v>
      </c>
      <c r="C576" s="2" t="s">
        <v>408</v>
      </c>
      <c r="D576" s="1" t="s">
        <v>9</v>
      </c>
      <c r="F576" s="3">
        <v>40227</v>
      </c>
      <c r="G576" s="10">
        <f t="shared" si="10"/>
        <v>9616506</v>
      </c>
    </row>
    <row r="577" spans="1:7" x14ac:dyDescent="0.2">
      <c r="A577" s="13">
        <v>44561</v>
      </c>
      <c r="C577" s="2" t="s">
        <v>412</v>
      </c>
      <c r="D577" s="1" t="s">
        <v>9</v>
      </c>
      <c r="E577" s="3">
        <f>33099+300546+507164+285652+512120</f>
        <v>1638581</v>
      </c>
      <c r="G577" s="10">
        <f t="shared" si="10"/>
        <v>11255087</v>
      </c>
    </row>
    <row r="578" spans="1:7" ht="15.75" x14ac:dyDescent="0.25">
      <c r="A578" s="11" t="s">
        <v>413</v>
      </c>
      <c r="G578" s="10"/>
    </row>
    <row r="579" spans="1:7" x14ac:dyDescent="0.2">
      <c r="A579" s="12" t="s">
        <v>2</v>
      </c>
      <c r="B579" s="5" t="s">
        <v>1</v>
      </c>
      <c r="C579" s="5" t="s">
        <v>3</v>
      </c>
      <c r="D579" s="5"/>
      <c r="E579" s="8" t="s">
        <v>4</v>
      </c>
      <c r="F579" s="8" t="s">
        <v>6</v>
      </c>
      <c r="G579" s="9" t="s">
        <v>5</v>
      </c>
    </row>
    <row r="580" spans="1:7" x14ac:dyDescent="0.2">
      <c r="A580" s="21">
        <v>44564</v>
      </c>
      <c r="B580" s="22" t="s">
        <v>407</v>
      </c>
      <c r="C580" s="23" t="s">
        <v>416</v>
      </c>
      <c r="D580" s="22" t="s">
        <v>9</v>
      </c>
      <c r="E580" s="24"/>
      <c r="F580" s="24">
        <v>150000</v>
      </c>
      <c r="G580" s="10">
        <f>G577+E580-F580</f>
        <v>11105087</v>
      </c>
    </row>
    <row r="581" spans="1:7" x14ac:dyDescent="0.2">
      <c r="A581" s="13">
        <v>44565</v>
      </c>
      <c r="B581" s="1" t="s">
        <v>417</v>
      </c>
      <c r="C581" s="2" t="s">
        <v>420</v>
      </c>
      <c r="D581" s="1" t="s">
        <v>9</v>
      </c>
      <c r="F581" s="3">
        <v>2841474</v>
      </c>
      <c r="G581" s="10">
        <f t="shared" si="10"/>
        <v>8263613</v>
      </c>
    </row>
    <row r="582" spans="1:7" x14ac:dyDescent="0.2">
      <c r="A582" s="13">
        <v>44566</v>
      </c>
      <c r="C582" s="2" t="s">
        <v>414</v>
      </c>
      <c r="D582" s="1" t="s">
        <v>9</v>
      </c>
      <c r="E582" s="3">
        <f>13175+454760</f>
        <v>467935</v>
      </c>
      <c r="G582" s="10">
        <f t="shared" si="10"/>
        <v>8731548</v>
      </c>
    </row>
    <row r="583" spans="1:7" x14ac:dyDescent="0.2">
      <c r="A583" s="13">
        <v>44571</v>
      </c>
      <c r="C583" s="2" t="s">
        <v>116</v>
      </c>
      <c r="D583" s="1" t="s">
        <v>9</v>
      </c>
      <c r="E583" s="3">
        <v>109032</v>
      </c>
      <c r="G583" s="10">
        <f t="shared" si="10"/>
        <v>8840580</v>
      </c>
    </row>
    <row r="584" spans="1:7" x14ac:dyDescent="0.2">
      <c r="A584" s="13">
        <v>44572</v>
      </c>
      <c r="C584" s="2" t="s">
        <v>418</v>
      </c>
      <c r="D584" s="1" t="s">
        <v>9</v>
      </c>
      <c r="E584" s="3">
        <f>347891+39037+252756+21565+30710+332000+281292+22066+354722</f>
        <v>1682039</v>
      </c>
      <c r="G584" s="10">
        <f t="shared" si="10"/>
        <v>10522619</v>
      </c>
    </row>
    <row r="585" spans="1:7" x14ac:dyDescent="0.2">
      <c r="A585" s="13">
        <v>44573</v>
      </c>
      <c r="C585" s="2" t="s">
        <v>419</v>
      </c>
      <c r="D585" s="1" t="s">
        <v>9</v>
      </c>
      <c r="E585" s="3">
        <v>2968172</v>
      </c>
      <c r="G585" s="10">
        <f t="shared" si="10"/>
        <v>13490791</v>
      </c>
    </row>
    <row r="586" spans="1:7" x14ac:dyDescent="0.2">
      <c r="A586" s="13">
        <v>44573</v>
      </c>
      <c r="C586" s="2" t="s">
        <v>421</v>
      </c>
      <c r="D586" s="1" t="s">
        <v>9</v>
      </c>
      <c r="E586" s="3">
        <f>1110734+1157769+19913</f>
        <v>2288416</v>
      </c>
      <c r="G586" s="10">
        <f t="shared" si="10"/>
        <v>15779207</v>
      </c>
    </row>
    <row r="587" spans="1:7" x14ac:dyDescent="0.2">
      <c r="A587" s="13">
        <v>44575</v>
      </c>
      <c r="C587" s="2" t="s">
        <v>422</v>
      </c>
      <c r="D587" s="1" t="s">
        <v>9</v>
      </c>
      <c r="F587" s="3">
        <f>504000+275</f>
        <v>504275</v>
      </c>
      <c r="G587" s="10">
        <f t="shared" si="10"/>
        <v>15274932</v>
      </c>
    </row>
    <row r="588" spans="1:7" x14ac:dyDescent="0.2">
      <c r="A588" s="13">
        <v>44575</v>
      </c>
      <c r="C588" s="2" t="s">
        <v>423</v>
      </c>
      <c r="D588" s="1" t="s">
        <v>9</v>
      </c>
      <c r="F588" s="3">
        <f>581773+275</f>
        <v>582048</v>
      </c>
      <c r="G588" s="10">
        <f t="shared" si="10"/>
        <v>14692884</v>
      </c>
    </row>
    <row r="589" spans="1:7" x14ac:dyDescent="0.2">
      <c r="A589" s="13">
        <v>44575</v>
      </c>
      <c r="C589" s="2" t="s">
        <v>424</v>
      </c>
      <c r="D589" s="1" t="s">
        <v>9</v>
      </c>
      <c r="F589" s="3">
        <f>285998+275</f>
        <v>286273</v>
      </c>
      <c r="G589" s="10">
        <f t="shared" si="10"/>
        <v>14406611</v>
      </c>
    </row>
    <row r="590" spans="1:7" x14ac:dyDescent="0.2">
      <c r="A590" s="13">
        <v>44575</v>
      </c>
      <c r="C590" s="2" t="s">
        <v>425</v>
      </c>
      <c r="D590" s="1" t="s">
        <v>9</v>
      </c>
      <c r="F590" s="3">
        <f>224613</f>
        <v>224613</v>
      </c>
      <c r="G590" s="10">
        <f t="shared" si="10"/>
        <v>14181998</v>
      </c>
    </row>
    <row r="591" spans="1:7" x14ac:dyDescent="0.2">
      <c r="A591" s="13">
        <v>44575</v>
      </c>
      <c r="C591" s="2" t="s">
        <v>426</v>
      </c>
      <c r="D591" s="1" t="s">
        <v>9</v>
      </c>
      <c r="F591" s="3">
        <f>935000+275</f>
        <v>935275</v>
      </c>
      <c r="G591" s="10">
        <f t="shared" si="10"/>
        <v>13246723</v>
      </c>
    </row>
    <row r="592" spans="1:7" x14ac:dyDescent="0.2">
      <c r="A592" s="13">
        <v>44575</v>
      </c>
      <c r="C592" s="2" t="s">
        <v>365</v>
      </c>
      <c r="D592" s="1" t="s">
        <v>9</v>
      </c>
      <c r="F592" s="3">
        <f>432906+275</f>
        <v>433181</v>
      </c>
      <c r="G592" s="10">
        <f t="shared" si="10"/>
        <v>12813542</v>
      </c>
    </row>
    <row r="593" spans="1:7" x14ac:dyDescent="0.2">
      <c r="A593" s="13">
        <v>44575</v>
      </c>
      <c r="C593" s="2" t="s">
        <v>427</v>
      </c>
      <c r="D593" s="1" t="s">
        <v>9</v>
      </c>
      <c r="F593" s="3">
        <f>522896</f>
        <v>522896</v>
      </c>
      <c r="G593" s="10">
        <f t="shared" si="10"/>
        <v>12290646</v>
      </c>
    </row>
    <row r="594" spans="1:7" x14ac:dyDescent="0.2">
      <c r="A594" s="13">
        <v>44575</v>
      </c>
      <c r="C594" s="2" t="s">
        <v>428</v>
      </c>
      <c r="D594" s="1" t="s">
        <v>9</v>
      </c>
      <c r="F594" s="3">
        <f>1772050</f>
        <v>1772050</v>
      </c>
      <c r="G594" s="10">
        <f t="shared" si="10"/>
        <v>10518596</v>
      </c>
    </row>
    <row r="595" spans="1:7" x14ac:dyDescent="0.2">
      <c r="A595" s="13">
        <v>44578</v>
      </c>
      <c r="C595" s="2" t="s">
        <v>434</v>
      </c>
      <c r="D595" s="1" t="s">
        <v>9</v>
      </c>
      <c r="F595" s="3">
        <f>6067524+158251</f>
        <v>6225775</v>
      </c>
      <c r="G595" s="10">
        <f t="shared" si="10"/>
        <v>4292821</v>
      </c>
    </row>
    <row r="596" spans="1:7" x14ac:dyDescent="0.2">
      <c r="A596" s="13">
        <v>44578</v>
      </c>
      <c r="C596" s="2" t="s">
        <v>137</v>
      </c>
      <c r="D596" s="1" t="s">
        <v>9</v>
      </c>
      <c r="E596" s="3">
        <v>114165</v>
      </c>
      <c r="G596" s="10">
        <f t="shared" si="10"/>
        <v>4406986</v>
      </c>
    </row>
    <row r="597" spans="1:7" x14ac:dyDescent="0.2">
      <c r="A597" s="13">
        <v>44579</v>
      </c>
      <c r="C597" s="2" t="s">
        <v>35</v>
      </c>
      <c r="D597" s="1" t="s">
        <v>9</v>
      </c>
      <c r="F597" s="3">
        <v>6600</v>
      </c>
      <c r="G597" s="10">
        <f t="shared" si="10"/>
        <v>4400386</v>
      </c>
    </row>
    <row r="598" spans="1:7" x14ac:dyDescent="0.2">
      <c r="A598" s="13">
        <v>44580</v>
      </c>
      <c r="B598" s="1" t="s">
        <v>429</v>
      </c>
      <c r="C598" s="2" t="s">
        <v>471</v>
      </c>
      <c r="D598" s="1" t="s">
        <v>9</v>
      </c>
      <c r="F598" s="3">
        <v>165000</v>
      </c>
      <c r="G598" s="10">
        <f t="shared" si="10"/>
        <v>4235386</v>
      </c>
    </row>
    <row r="599" spans="1:7" x14ac:dyDescent="0.2">
      <c r="A599" s="13">
        <v>44580</v>
      </c>
      <c r="B599" s="1" t="s">
        <v>431</v>
      </c>
      <c r="C599" s="2" t="s">
        <v>430</v>
      </c>
      <c r="D599" s="1" t="s">
        <v>9</v>
      </c>
      <c r="F599" s="3">
        <v>1613863</v>
      </c>
      <c r="G599" s="10">
        <f t="shared" si="10"/>
        <v>2621523</v>
      </c>
    </row>
    <row r="600" spans="1:7" x14ac:dyDescent="0.2">
      <c r="A600" s="13">
        <v>44580</v>
      </c>
      <c r="C600" s="2" t="s">
        <v>432</v>
      </c>
      <c r="D600" s="1" t="s">
        <v>9</v>
      </c>
      <c r="F600" s="3">
        <f>62492+3300</f>
        <v>65792</v>
      </c>
      <c r="G600" s="10">
        <f t="shared" si="10"/>
        <v>2555731</v>
      </c>
    </row>
    <row r="601" spans="1:7" x14ac:dyDescent="0.2">
      <c r="A601" s="13">
        <v>44580</v>
      </c>
      <c r="C601" s="2" t="s">
        <v>433</v>
      </c>
      <c r="D601" s="1" t="s">
        <v>9</v>
      </c>
      <c r="F601" s="3">
        <f>8677727+3300</f>
        <v>8681027</v>
      </c>
      <c r="G601" s="10">
        <f t="shared" si="10"/>
        <v>-6125296</v>
      </c>
    </row>
    <row r="602" spans="1:7" x14ac:dyDescent="0.2">
      <c r="A602" s="21">
        <v>44580</v>
      </c>
      <c r="B602" s="22" t="s">
        <v>435</v>
      </c>
      <c r="C602" s="23" t="s">
        <v>437</v>
      </c>
      <c r="D602" s="22" t="s">
        <v>9</v>
      </c>
      <c r="E602" s="24"/>
      <c r="F602" s="24">
        <v>7993962</v>
      </c>
      <c r="G602" s="10">
        <f t="shared" si="10"/>
        <v>-14119258</v>
      </c>
    </row>
    <row r="603" spans="1:7" x14ac:dyDescent="0.2">
      <c r="A603" s="13">
        <v>44580</v>
      </c>
      <c r="C603" s="2" t="s">
        <v>436</v>
      </c>
      <c r="D603" s="1" t="s">
        <v>9</v>
      </c>
      <c r="F603" s="3">
        <v>2200</v>
      </c>
      <c r="G603" s="10">
        <f t="shared" si="10"/>
        <v>-14121458</v>
      </c>
    </row>
    <row r="604" spans="1:7" x14ac:dyDescent="0.2">
      <c r="A604" s="13">
        <v>44581</v>
      </c>
      <c r="C604" s="2" t="s">
        <v>439</v>
      </c>
      <c r="D604" s="1" t="s">
        <v>9</v>
      </c>
      <c r="E604" s="3">
        <f>86659+91050+27258+44894+76700+403914+73066</f>
        <v>803541</v>
      </c>
      <c r="G604" s="10">
        <f t="shared" si="10"/>
        <v>-13317917</v>
      </c>
    </row>
    <row r="605" spans="1:7" x14ac:dyDescent="0.2">
      <c r="A605" s="13">
        <v>44581</v>
      </c>
      <c r="C605" s="2" t="s">
        <v>436</v>
      </c>
      <c r="D605" s="1" t="s">
        <v>9</v>
      </c>
      <c r="F605" s="3">
        <v>4400</v>
      </c>
      <c r="G605" s="10">
        <f t="shared" si="10"/>
        <v>-13322317</v>
      </c>
    </row>
    <row r="606" spans="1:7" x14ac:dyDescent="0.2">
      <c r="A606" s="13">
        <v>44581</v>
      </c>
      <c r="C606" s="2" t="s">
        <v>436</v>
      </c>
      <c r="D606" s="1" t="s">
        <v>9</v>
      </c>
      <c r="F606" s="3">
        <v>4400</v>
      </c>
      <c r="G606" s="10">
        <f t="shared" si="10"/>
        <v>-13326717</v>
      </c>
    </row>
    <row r="607" spans="1:7" x14ac:dyDescent="0.2">
      <c r="A607" s="13">
        <v>44582</v>
      </c>
      <c r="C607" s="2" t="s">
        <v>440</v>
      </c>
      <c r="D607" s="1" t="s">
        <v>9</v>
      </c>
      <c r="E607" s="3">
        <v>971799</v>
      </c>
      <c r="G607" s="10">
        <f t="shared" si="10"/>
        <v>-12354918</v>
      </c>
    </row>
    <row r="608" spans="1:7" x14ac:dyDescent="0.2">
      <c r="A608" s="13">
        <v>44582</v>
      </c>
      <c r="C608" s="2" t="s">
        <v>438</v>
      </c>
      <c r="D608" s="1" t="s">
        <v>9</v>
      </c>
      <c r="E608" s="3">
        <f>411018+2974+134237+102056+8124+65015+67024</f>
        <v>790448</v>
      </c>
      <c r="G608" s="10">
        <f t="shared" si="10"/>
        <v>-11564470</v>
      </c>
    </row>
    <row r="609" spans="1:9" x14ac:dyDescent="0.2">
      <c r="A609" s="13">
        <v>44586</v>
      </c>
      <c r="C609" s="2" t="s">
        <v>296</v>
      </c>
      <c r="D609" s="1" t="s">
        <v>9</v>
      </c>
      <c r="E609" s="3">
        <v>700000</v>
      </c>
      <c r="G609" s="10">
        <f t="shared" si="10"/>
        <v>-10864470</v>
      </c>
    </row>
    <row r="610" spans="1:9" x14ac:dyDescent="0.2">
      <c r="A610" s="13">
        <v>44586</v>
      </c>
      <c r="C610" s="2" t="s">
        <v>53</v>
      </c>
      <c r="D610" s="1" t="s">
        <v>9</v>
      </c>
      <c r="F610" s="3">
        <v>100</v>
      </c>
      <c r="G610" s="10">
        <f t="shared" si="10"/>
        <v>-10864570</v>
      </c>
    </row>
    <row r="611" spans="1:9" x14ac:dyDescent="0.2">
      <c r="A611" s="13">
        <v>44586</v>
      </c>
      <c r="C611" s="2" t="s">
        <v>27</v>
      </c>
      <c r="D611" s="1" t="s">
        <v>9</v>
      </c>
      <c r="F611" s="3">
        <v>150000</v>
      </c>
      <c r="G611" s="10">
        <f t="shared" si="10"/>
        <v>-11014570</v>
      </c>
    </row>
    <row r="612" spans="1:9" x14ac:dyDescent="0.2">
      <c r="A612" s="13">
        <v>44586</v>
      </c>
      <c r="C612" s="2" t="s">
        <v>442</v>
      </c>
      <c r="D612" s="1" t="s">
        <v>9</v>
      </c>
      <c r="E612" s="3">
        <v>734060</v>
      </c>
      <c r="G612" s="10">
        <f t="shared" si="10"/>
        <v>-10280510</v>
      </c>
    </row>
    <row r="613" spans="1:9" x14ac:dyDescent="0.2">
      <c r="A613" s="13">
        <v>44588</v>
      </c>
      <c r="B613" s="22" t="s">
        <v>441</v>
      </c>
      <c r="C613" s="23" t="s">
        <v>150</v>
      </c>
      <c r="D613" s="1" t="s">
        <v>9</v>
      </c>
      <c r="F613" s="3">
        <v>114000</v>
      </c>
      <c r="G613" s="10">
        <f t="shared" si="10"/>
        <v>-10394510</v>
      </c>
    </row>
    <row r="614" spans="1:9" x14ac:dyDescent="0.2">
      <c r="A614" s="13">
        <v>44588</v>
      </c>
      <c r="C614" s="2" t="s">
        <v>436</v>
      </c>
      <c r="D614" s="1" t="s">
        <v>9</v>
      </c>
      <c r="F614" s="3">
        <v>2200</v>
      </c>
      <c r="G614" s="10">
        <f t="shared" si="10"/>
        <v>-10396710</v>
      </c>
    </row>
    <row r="615" spans="1:9" x14ac:dyDescent="0.2">
      <c r="A615" s="13">
        <v>44589</v>
      </c>
      <c r="C615" s="2" t="s">
        <v>443</v>
      </c>
      <c r="D615" s="1" t="s">
        <v>9</v>
      </c>
      <c r="E615" s="3">
        <v>65284</v>
      </c>
      <c r="G615" s="10">
        <f t="shared" si="10"/>
        <v>-10331426</v>
      </c>
    </row>
    <row r="616" spans="1:9" x14ac:dyDescent="0.2">
      <c r="A616" s="13">
        <v>44589</v>
      </c>
      <c r="C616" s="2" t="s">
        <v>443</v>
      </c>
      <c r="D616" s="1" t="s">
        <v>9</v>
      </c>
      <c r="E616" s="3">
        <v>92849</v>
      </c>
      <c r="G616" s="10">
        <f t="shared" si="10"/>
        <v>-10238577</v>
      </c>
    </row>
    <row r="617" spans="1:9" x14ac:dyDescent="0.2">
      <c r="A617" s="13">
        <v>44589</v>
      </c>
      <c r="C617" s="2" t="s">
        <v>443</v>
      </c>
      <c r="D617" s="1" t="s">
        <v>9</v>
      </c>
      <c r="E617" s="3">
        <v>107361</v>
      </c>
      <c r="G617" s="10">
        <f t="shared" si="10"/>
        <v>-10131216</v>
      </c>
    </row>
    <row r="618" spans="1:9" x14ac:dyDescent="0.2">
      <c r="A618" s="13">
        <v>44589</v>
      </c>
      <c r="C618" s="2" t="s">
        <v>296</v>
      </c>
      <c r="D618" s="1" t="s">
        <v>9</v>
      </c>
      <c r="E618" s="3">
        <v>2000000</v>
      </c>
      <c r="G618" s="10">
        <f t="shared" si="10"/>
        <v>-8131216</v>
      </c>
    </row>
    <row r="619" spans="1:9" x14ac:dyDescent="0.2">
      <c r="A619" s="13">
        <v>44589</v>
      </c>
      <c r="C619" s="2" t="s">
        <v>444</v>
      </c>
      <c r="D619" s="1" t="s">
        <v>9</v>
      </c>
      <c r="E619" s="3">
        <f>175407+179832+41064</f>
        <v>396303</v>
      </c>
      <c r="G619" s="10">
        <f t="shared" si="10"/>
        <v>-7734913</v>
      </c>
    </row>
    <row r="620" spans="1:9" x14ac:dyDescent="0.2">
      <c r="A620" s="13">
        <v>44589</v>
      </c>
      <c r="C620" s="2" t="s">
        <v>53</v>
      </c>
      <c r="D620" s="1" t="s">
        <v>9</v>
      </c>
      <c r="F620" s="3">
        <v>100</v>
      </c>
      <c r="G620" s="10">
        <f t="shared" si="10"/>
        <v>-7735013</v>
      </c>
    </row>
    <row r="621" spans="1:9" x14ac:dyDescent="0.2">
      <c r="A621" s="13">
        <v>44592</v>
      </c>
      <c r="C621" s="2" t="s">
        <v>445</v>
      </c>
      <c r="D621" s="1" t="s">
        <v>9</v>
      </c>
      <c r="F621" s="3">
        <v>122634</v>
      </c>
      <c r="G621" s="10">
        <f t="shared" si="10"/>
        <v>-7857647</v>
      </c>
      <c r="I621" s="25">
        <v>-7248920</v>
      </c>
    </row>
    <row r="622" spans="1:9" x14ac:dyDescent="0.2">
      <c r="A622" s="13">
        <v>44592</v>
      </c>
      <c r="C622" s="2" t="s">
        <v>116</v>
      </c>
      <c r="D622" s="1" t="s">
        <v>9</v>
      </c>
      <c r="E622" s="3">
        <v>443727</v>
      </c>
      <c r="G622" s="10">
        <f t="shared" si="10"/>
        <v>-7413920</v>
      </c>
      <c r="I622" s="10">
        <f>I621-F598</f>
        <v>-7413920</v>
      </c>
    </row>
    <row r="623" spans="1:9" ht="15.75" x14ac:dyDescent="0.25">
      <c r="A623" s="11" t="s">
        <v>462</v>
      </c>
      <c r="G623" s="10"/>
    </row>
    <row r="624" spans="1:9" x14ac:dyDescent="0.2">
      <c r="A624" s="12" t="s">
        <v>2</v>
      </c>
      <c r="B624" s="5" t="s">
        <v>1</v>
      </c>
      <c r="C624" s="5" t="s">
        <v>3</v>
      </c>
      <c r="D624" s="5"/>
      <c r="E624" s="8" t="s">
        <v>4</v>
      </c>
      <c r="F624" s="8" t="s">
        <v>6</v>
      </c>
      <c r="G624" s="9" t="s">
        <v>5</v>
      </c>
    </row>
    <row r="625" spans="1:7" x14ac:dyDescent="0.2">
      <c r="A625" s="13">
        <v>44595</v>
      </c>
      <c r="C625" s="2" t="s">
        <v>446</v>
      </c>
      <c r="D625" s="1" t="s">
        <v>9</v>
      </c>
      <c r="F625" s="3">
        <f>1967273</f>
        <v>1967273</v>
      </c>
      <c r="G625" s="10">
        <f>G622+E625-F625</f>
        <v>-9381193</v>
      </c>
    </row>
    <row r="626" spans="1:7" x14ac:dyDescent="0.2">
      <c r="A626" s="13">
        <v>44595</v>
      </c>
      <c r="C626" s="2" t="s">
        <v>447</v>
      </c>
      <c r="D626" s="1" t="s">
        <v>9</v>
      </c>
      <c r="F626" s="3">
        <v>2069300</v>
      </c>
      <c r="G626" s="10">
        <f t="shared" si="10"/>
        <v>-11450493</v>
      </c>
    </row>
    <row r="627" spans="1:7" x14ac:dyDescent="0.2">
      <c r="A627" s="13">
        <v>44595</v>
      </c>
      <c r="C627" s="2" t="s">
        <v>34</v>
      </c>
      <c r="D627" s="1" t="s">
        <v>9</v>
      </c>
      <c r="F627" s="3">
        <v>1100</v>
      </c>
      <c r="G627" s="10">
        <f t="shared" si="10"/>
        <v>-11451593</v>
      </c>
    </row>
    <row r="628" spans="1:7" x14ac:dyDescent="0.2">
      <c r="A628" s="13">
        <v>44595</v>
      </c>
      <c r="C628" s="2" t="s">
        <v>448</v>
      </c>
      <c r="D628" s="1" t="s">
        <v>9</v>
      </c>
      <c r="E628" s="3">
        <f>38751+56640+272415+421685+1103501</f>
        <v>1892992</v>
      </c>
      <c r="G628" s="10">
        <f t="shared" si="10"/>
        <v>-9558601</v>
      </c>
    </row>
    <row r="629" spans="1:7" x14ac:dyDescent="0.2">
      <c r="A629" s="13">
        <v>44595</v>
      </c>
      <c r="C629" s="2" t="s">
        <v>449</v>
      </c>
      <c r="D629" s="1" t="s">
        <v>9</v>
      </c>
      <c r="E629" s="3">
        <v>835499</v>
      </c>
      <c r="G629" s="10">
        <f t="shared" si="10"/>
        <v>-8723102</v>
      </c>
    </row>
    <row r="630" spans="1:7" x14ac:dyDescent="0.2">
      <c r="A630" s="13">
        <v>44595</v>
      </c>
      <c r="C630" s="2" t="s">
        <v>84</v>
      </c>
      <c r="D630" s="1" t="s">
        <v>9</v>
      </c>
      <c r="F630" s="3">
        <v>185185</v>
      </c>
      <c r="G630" s="10">
        <f t="shared" si="10"/>
        <v>-8908287</v>
      </c>
    </row>
    <row r="631" spans="1:7" x14ac:dyDescent="0.2">
      <c r="A631" s="13">
        <v>44595</v>
      </c>
      <c r="C631" s="2" t="s">
        <v>436</v>
      </c>
      <c r="D631" s="1" t="s">
        <v>9</v>
      </c>
      <c r="F631" s="3">
        <v>4400</v>
      </c>
      <c r="G631" s="10">
        <f t="shared" si="10"/>
        <v>-8912687</v>
      </c>
    </row>
    <row r="632" spans="1:7" x14ac:dyDescent="0.2">
      <c r="A632" s="13">
        <v>44595</v>
      </c>
      <c r="C632" s="2" t="s">
        <v>436</v>
      </c>
      <c r="D632" s="1" t="s">
        <v>9</v>
      </c>
      <c r="F632" s="3">
        <v>4400</v>
      </c>
      <c r="G632" s="10">
        <f t="shared" si="10"/>
        <v>-8917087</v>
      </c>
    </row>
    <row r="633" spans="1:7" x14ac:dyDescent="0.2">
      <c r="A633" s="13">
        <v>44600</v>
      </c>
      <c r="C633" s="2" t="s">
        <v>457</v>
      </c>
      <c r="D633" s="1" t="s">
        <v>9</v>
      </c>
      <c r="E633" s="3">
        <f>128384+411206</f>
        <v>539590</v>
      </c>
      <c r="G633" s="10">
        <f t="shared" ref="G633:G639" si="11">G632+E633-F633</f>
        <v>-8377497</v>
      </c>
    </row>
    <row r="634" spans="1:7" x14ac:dyDescent="0.2">
      <c r="A634" s="13">
        <v>44600</v>
      </c>
      <c r="C634" s="2" t="s">
        <v>458</v>
      </c>
      <c r="D634" s="1" t="s">
        <v>9</v>
      </c>
      <c r="E634" s="3">
        <f>67024+164388+63437+1103374+32096+84342+189390+111010+100300</f>
        <v>1915361</v>
      </c>
      <c r="G634" s="10">
        <f t="shared" si="11"/>
        <v>-6462136</v>
      </c>
    </row>
    <row r="635" spans="1:7" x14ac:dyDescent="0.2">
      <c r="A635" s="13">
        <v>44601</v>
      </c>
      <c r="C635" s="2" t="s">
        <v>35</v>
      </c>
      <c r="D635" s="1" t="s">
        <v>9</v>
      </c>
      <c r="F635" s="3">
        <v>6600</v>
      </c>
      <c r="G635" s="10">
        <f t="shared" si="11"/>
        <v>-6468736</v>
      </c>
    </row>
    <row r="636" spans="1:7" x14ac:dyDescent="0.2">
      <c r="A636" s="13">
        <v>44602</v>
      </c>
      <c r="C636" s="2" t="s">
        <v>450</v>
      </c>
      <c r="D636" s="1" t="s">
        <v>9</v>
      </c>
      <c r="F636" s="3">
        <f>443751</f>
        <v>443751</v>
      </c>
      <c r="G636" s="10">
        <f t="shared" si="11"/>
        <v>-6912487</v>
      </c>
    </row>
    <row r="637" spans="1:7" x14ac:dyDescent="0.2">
      <c r="A637" s="13">
        <v>44602</v>
      </c>
      <c r="C637" s="2" t="s">
        <v>451</v>
      </c>
      <c r="D637" s="1" t="s">
        <v>9</v>
      </c>
      <c r="F637" s="3">
        <f>449368</f>
        <v>449368</v>
      </c>
      <c r="G637" s="10">
        <f t="shared" si="11"/>
        <v>-7361855</v>
      </c>
    </row>
    <row r="638" spans="1:7" x14ac:dyDescent="0.2">
      <c r="A638" s="13">
        <v>44602</v>
      </c>
      <c r="C638" s="2" t="s">
        <v>452</v>
      </c>
      <c r="D638" s="1" t="s">
        <v>9</v>
      </c>
      <c r="F638" s="3">
        <f>207938</f>
        <v>207938</v>
      </c>
      <c r="G638" s="10">
        <f t="shared" si="11"/>
        <v>-7569793</v>
      </c>
    </row>
    <row r="639" spans="1:7" x14ac:dyDescent="0.2">
      <c r="A639" s="13">
        <v>44602</v>
      </c>
      <c r="C639" s="2" t="s">
        <v>453</v>
      </c>
      <c r="D639" s="1" t="s">
        <v>9</v>
      </c>
      <c r="F639" s="3">
        <f>662982+275</f>
        <v>663257</v>
      </c>
      <c r="G639" s="10">
        <f t="shared" si="11"/>
        <v>-8233050</v>
      </c>
    </row>
    <row r="640" spans="1:7" x14ac:dyDescent="0.2">
      <c r="A640" s="13">
        <v>44602</v>
      </c>
      <c r="C640" s="2" t="s">
        <v>454</v>
      </c>
      <c r="D640" s="1" t="s">
        <v>9</v>
      </c>
      <c r="F640" s="3">
        <f>51428</f>
        <v>51428</v>
      </c>
      <c r="G640" s="10">
        <f t="shared" ref="G640:G645" si="12">G639+E640-F640</f>
        <v>-8284478</v>
      </c>
    </row>
    <row r="641" spans="1:7" x14ac:dyDescent="0.2">
      <c r="A641" s="13">
        <v>44602</v>
      </c>
      <c r="C641" s="2" t="s">
        <v>455</v>
      </c>
      <c r="D641" s="1" t="s">
        <v>9</v>
      </c>
      <c r="F641" s="3">
        <f>267979+275</f>
        <v>268254</v>
      </c>
      <c r="G641" s="10">
        <f t="shared" si="12"/>
        <v>-8552732</v>
      </c>
    </row>
    <row r="642" spans="1:7" x14ac:dyDescent="0.2">
      <c r="A642" s="13">
        <v>44602</v>
      </c>
      <c r="C642" s="2" t="s">
        <v>456</v>
      </c>
      <c r="D642" s="1" t="s">
        <v>9</v>
      </c>
      <c r="F642" s="3">
        <f>935000+275</f>
        <v>935275</v>
      </c>
      <c r="G642" s="10">
        <f t="shared" si="12"/>
        <v>-9488007</v>
      </c>
    </row>
    <row r="643" spans="1:7" x14ac:dyDescent="0.2">
      <c r="A643" s="13">
        <v>44602</v>
      </c>
      <c r="C643" s="2" t="s">
        <v>365</v>
      </c>
      <c r="D643" s="1" t="s">
        <v>9</v>
      </c>
      <c r="F643" s="3">
        <f>432906+275</f>
        <v>433181</v>
      </c>
      <c r="G643" s="10">
        <f t="shared" si="12"/>
        <v>-9921188</v>
      </c>
    </row>
    <row r="644" spans="1:7" x14ac:dyDescent="0.2">
      <c r="A644" s="13">
        <v>44602</v>
      </c>
      <c r="C644" s="2" t="s">
        <v>459</v>
      </c>
      <c r="D644" s="1" t="s">
        <v>9</v>
      </c>
      <c r="F644" s="3">
        <f>1052748+275</f>
        <v>1053023</v>
      </c>
      <c r="G644" s="10">
        <f t="shared" si="12"/>
        <v>-10974211</v>
      </c>
    </row>
    <row r="645" spans="1:7" x14ac:dyDescent="0.2">
      <c r="A645" s="13">
        <v>44602</v>
      </c>
      <c r="C645" s="2" t="s">
        <v>460</v>
      </c>
      <c r="D645" s="1" t="s">
        <v>9</v>
      </c>
      <c r="E645" s="3">
        <f>499140+273642+101997+784700</f>
        <v>1659479</v>
      </c>
      <c r="G645" s="10">
        <f t="shared" si="12"/>
        <v>-9314732</v>
      </c>
    </row>
    <row r="646" spans="1:7" x14ac:dyDescent="0.2">
      <c r="A646" s="13">
        <v>44602</v>
      </c>
      <c r="C646" s="2" t="s">
        <v>296</v>
      </c>
      <c r="D646" s="1" t="s">
        <v>9</v>
      </c>
      <c r="E646" s="3">
        <v>800000</v>
      </c>
      <c r="G646" s="10">
        <f t="shared" ref="G646:G711" si="13">G645+E646-F646</f>
        <v>-8514732</v>
      </c>
    </row>
    <row r="647" spans="1:7" x14ac:dyDescent="0.2">
      <c r="A647" s="13">
        <v>44602</v>
      </c>
      <c r="C647" s="2" t="s">
        <v>436</v>
      </c>
      <c r="D647" s="1" t="s">
        <v>9</v>
      </c>
      <c r="F647" s="3">
        <v>4400</v>
      </c>
      <c r="G647" s="10">
        <f t="shared" si="13"/>
        <v>-8519132</v>
      </c>
    </row>
    <row r="648" spans="1:7" x14ac:dyDescent="0.2">
      <c r="A648" s="13">
        <v>44602</v>
      </c>
      <c r="C648" s="2" t="s">
        <v>436</v>
      </c>
      <c r="D648" s="1" t="s">
        <v>9</v>
      </c>
      <c r="F648" s="3">
        <v>4400</v>
      </c>
      <c r="G648" s="10">
        <f t="shared" si="13"/>
        <v>-8523532</v>
      </c>
    </row>
    <row r="649" spans="1:7" x14ac:dyDescent="0.2">
      <c r="A649" s="13">
        <v>44602</v>
      </c>
      <c r="C649" s="2" t="s">
        <v>436</v>
      </c>
      <c r="D649" s="1" t="s">
        <v>9</v>
      </c>
      <c r="F649" s="3">
        <v>4400</v>
      </c>
      <c r="G649" s="10">
        <f t="shared" si="13"/>
        <v>-8527932</v>
      </c>
    </row>
    <row r="650" spans="1:7" x14ac:dyDescent="0.2">
      <c r="A650" s="13">
        <v>44602</v>
      </c>
      <c r="C650" s="2" t="s">
        <v>436</v>
      </c>
      <c r="D650" s="1" t="s">
        <v>9</v>
      </c>
      <c r="F650" s="3">
        <v>4400</v>
      </c>
      <c r="G650" s="10">
        <f t="shared" si="13"/>
        <v>-8532332</v>
      </c>
    </row>
    <row r="651" spans="1:7" x14ac:dyDescent="0.2">
      <c r="A651" s="13">
        <v>44602</v>
      </c>
      <c r="C651" s="2" t="s">
        <v>436</v>
      </c>
      <c r="D651" s="1" t="s">
        <v>9</v>
      </c>
      <c r="F651" s="3">
        <v>4400</v>
      </c>
      <c r="G651" s="10">
        <f t="shared" si="13"/>
        <v>-8536732</v>
      </c>
    </row>
    <row r="652" spans="1:7" x14ac:dyDescent="0.2">
      <c r="A652" s="13">
        <v>44602</v>
      </c>
      <c r="C652" s="2" t="s">
        <v>436</v>
      </c>
      <c r="D652" s="1" t="s">
        <v>9</v>
      </c>
      <c r="F652" s="3">
        <v>4400</v>
      </c>
      <c r="G652" s="10">
        <f t="shared" si="13"/>
        <v>-8541132</v>
      </c>
    </row>
    <row r="653" spans="1:7" x14ac:dyDescent="0.2">
      <c r="A653" s="13">
        <v>44602</v>
      </c>
      <c r="C653" s="2" t="s">
        <v>436</v>
      </c>
      <c r="D653" s="1" t="s">
        <v>9</v>
      </c>
      <c r="F653" s="3">
        <v>4400</v>
      </c>
      <c r="G653" s="10">
        <f t="shared" si="13"/>
        <v>-8545532</v>
      </c>
    </row>
    <row r="654" spans="1:7" x14ac:dyDescent="0.2">
      <c r="A654" s="13">
        <v>44602</v>
      </c>
      <c r="C654" s="2" t="s">
        <v>436</v>
      </c>
      <c r="D654" s="1" t="s">
        <v>9</v>
      </c>
      <c r="F654" s="3">
        <v>4400</v>
      </c>
      <c r="G654" s="10">
        <f t="shared" si="13"/>
        <v>-8549932</v>
      </c>
    </row>
    <row r="655" spans="1:7" x14ac:dyDescent="0.2">
      <c r="A655" s="13">
        <v>44602</v>
      </c>
      <c r="C655" s="2" t="s">
        <v>436</v>
      </c>
      <c r="D655" s="1" t="s">
        <v>9</v>
      </c>
      <c r="F655" s="3">
        <v>4400</v>
      </c>
      <c r="G655" s="10">
        <f t="shared" si="13"/>
        <v>-8554332</v>
      </c>
    </row>
    <row r="656" spans="1:7" x14ac:dyDescent="0.2">
      <c r="A656" s="13">
        <v>44602</v>
      </c>
      <c r="C656" s="2" t="s">
        <v>53</v>
      </c>
      <c r="D656" s="1" t="s">
        <v>9</v>
      </c>
      <c r="F656" s="3">
        <v>100</v>
      </c>
      <c r="G656" s="10">
        <f t="shared" si="13"/>
        <v>-8554432</v>
      </c>
    </row>
    <row r="657" spans="1:7" x14ac:dyDescent="0.2">
      <c r="A657" s="13">
        <v>44602</v>
      </c>
      <c r="C657" s="2" t="s">
        <v>76</v>
      </c>
      <c r="D657" s="1" t="s">
        <v>9</v>
      </c>
      <c r="E657" s="3">
        <v>7080</v>
      </c>
      <c r="G657" s="10">
        <f t="shared" si="13"/>
        <v>-8547352</v>
      </c>
    </row>
    <row r="658" spans="1:7" x14ac:dyDescent="0.2">
      <c r="A658" s="13">
        <v>44603</v>
      </c>
      <c r="C658" s="2" t="s">
        <v>35</v>
      </c>
      <c r="D658" s="1" t="s">
        <v>9</v>
      </c>
      <c r="F658" s="3">
        <v>6600</v>
      </c>
      <c r="G658" s="10">
        <f t="shared" si="13"/>
        <v>-8553952</v>
      </c>
    </row>
    <row r="659" spans="1:7" x14ac:dyDescent="0.2">
      <c r="A659" s="13">
        <v>44607</v>
      </c>
      <c r="C659" s="2" t="s">
        <v>461</v>
      </c>
      <c r="D659" s="1" t="s">
        <v>9</v>
      </c>
      <c r="E659" s="3">
        <f>442122+78234+190275</f>
        <v>710631</v>
      </c>
      <c r="G659" s="10">
        <f t="shared" si="13"/>
        <v>-7843321</v>
      </c>
    </row>
    <row r="660" spans="1:7" x14ac:dyDescent="0.2">
      <c r="A660" s="13">
        <v>44609</v>
      </c>
      <c r="C660" s="2" t="s">
        <v>296</v>
      </c>
      <c r="D660" s="1" t="s">
        <v>9</v>
      </c>
      <c r="E660" s="3">
        <v>700000</v>
      </c>
      <c r="G660" s="10">
        <f t="shared" si="13"/>
        <v>-7143321</v>
      </c>
    </row>
    <row r="661" spans="1:7" x14ac:dyDescent="0.2">
      <c r="A661" s="13">
        <v>44609</v>
      </c>
      <c r="C661" s="2" t="s">
        <v>35</v>
      </c>
      <c r="D661" s="1" t="s">
        <v>9</v>
      </c>
      <c r="F661" s="3">
        <v>6600</v>
      </c>
      <c r="G661" s="10">
        <f t="shared" si="13"/>
        <v>-7149921</v>
      </c>
    </row>
    <row r="662" spans="1:7" x14ac:dyDescent="0.2">
      <c r="A662" s="13">
        <v>44609</v>
      </c>
      <c r="C662" s="2" t="s">
        <v>466</v>
      </c>
      <c r="D662" s="1" t="s">
        <v>9</v>
      </c>
      <c r="F662" s="3">
        <v>157882</v>
      </c>
      <c r="G662" s="10">
        <f t="shared" si="13"/>
        <v>-7307803</v>
      </c>
    </row>
    <row r="663" spans="1:7" x14ac:dyDescent="0.2">
      <c r="A663" s="13">
        <v>44609</v>
      </c>
      <c r="C663" s="2" t="s">
        <v>227</v>
      </c>
      <c r="D663" s="1" t="s">
        <v>9</v>
      </c>
      <c r="F663" s="3">
        <v>3300</v>
      </c>
      <c r="G663" s="10">
        <f t="shared" si="13"/>
        <v>-7311103</v>
      </c>
    </row>
    <row r="664" spans="1:7" x14ac:dyDescent="0.2">
      <c r="A664" s="13">
        <v>44609</v>
      </c>
      <c r="C664" s="2" t="s">
        <v>53</v>
      </c>
      <c r="D664" s="1" t="s">
        <v>9</v>
      </c>
      <c r="F664" s="3">
        <v>100</v>
      </c>
      <c r="G664" s="10">
        <f t="shared" si="13"/>
        <v>-7311203</v>
      </c>
    </row>
    <row r="665" spans="1:7" x14ac:dyDescent="0.2">
      <c r="A665" s="13">
        <v>44609</v>
      </c>
      <c r="C665" s="2" t="s">
        <v>463</v>
      </c>
      <c r="D665" s="1" t="s">
        <v>9</v>
      </c>
      <c r="E665" s="3">
        <f>576251+23120+51566+198541+3772874+245334+41123+56750+177000</f>
        <v>5142559</v>
      </c>
      <c r="G665" s="10">
        <f t="shared" si="13"/>
        <v>-2168644</v>
      </c>
    </row>
    <row r="666" spans="1:7" x14ac:dyDescent="0.2">
      <c r="A666" s="13">
        <v>44609</v>
      </c>
      <c r="B666" s="22" t="s">
        <v>464</v>
      </c>
      <c r="C666" s="23" t="s">
        <v>465</v>
      </c>
      <c r="D666" s="1" t="s">
        <v>9</v>
      </c>
      <c r="F666" s="3">
        <v>165000</v>
      </c>
      <c r="G666" s="10">
        <f t="shared" si="13"/>
        <v>-2333644</v>
      </c>
    </row>
    <row r="667" spans="1:7" x14ac:dyDescent="0.2">
      <c r="A667" s="13">
        <v>44610</v>
      </c>
      <c r="C667" s="2" t="s">
        <v>467</v>
      </c>
      <c r="D667" s="1" t="s">
        <v>9</v>
      </c>
      <c r="F667" s="3">
        <f>2803066</f>
        <v>2803066</v>
      </c>
      <c r="G667" s="10">
        <f t="shared" si="13"/>
        <v>-5136710</v>
      </c>
    </row>
    <row r="668" spans="1:7" x14ac:dyDescent="0.2">
      <c r="A668" s="13">
        <v>44610</v>
      </c>
      <c r="C668" s="2" t="s">
        <v>468</v>
      </c>
      <c r="D668" s="1" t="s">
        <v>9</v>
      </c>
      <c r="E668" s="3">
        <f>445658+16008+12685+163936+62127+185968+448788</f>
        <v>1335170</v>
      </c>
      <c r="G668" s="10">
        <f t="shared" si="13"/>
        <v>-3801540</v>
      </c>
    </row>
    <row r="669" spans="1:7" x14ac:dyDescent="0.2">
      <c r="A669" s="13">
        <v>44610</v>
      </c>
      <c r="C669" s="2" t="s">
        <v>35</v>
      </c>
      <c r="D669" s="1" t="s">
        <v>9</v>
      </c>
      <c r="F669" s="3">
        <v>6600</v>
      </c>
      <c r="G669" s="10">
        <f t="shared" si="13"/>
        <v>-3808140</v>
      </c>
    </row>
    <row r="670" spans="1:7" x14ac:dyDescent="0.2">
      <c r="A670" s="13">
        <v>44613</v>
      </c>
      <c r="C670" s="2" t="s">
        <v>469</v>
      </c>
      <c r="D670" s="1" t="s">
        <v>9</v>
      </c>
      <c r="E670" s="3">
        <f>27140+2040549+1456455+553125</f>
        <v>4077269</v>
      </c>
      <c r="G670" s="10">
        <f t="shared" si="13"/>
        <v>269129</v>
      </c>
    </row>
    <row r="671" spans="1:7" x14ac:dyDescent="0.2">
      <c r="A671" s="13">
        <v>44614</v>
      </c>
      <c r="C671" s="2" t="s">
        <v>470</v>
      </c>
      <c r="D671" s="1" t="s">
        <v>9</v>
      </c>
      <c r="F671" s="3">
        <f>5197326</f>
        <v>5197326</v>
      </c>
      <c r="G671" s="10">
        <f t="shared" si="13"/>
        <v>-4928197</v>
      </c>
    </row>
    <row r="672" spans="1:7" x14ac:dyDescent="0.2">
      <c r="A672" s="13">
        <v>44615</v>
      </c>
      <c r="C672" s="2" t="s">
        <v>35</v>
      </c>
      <c r="D672" s="1" t="s">
        <v>9</v>
      </c>
      <c r="F672" s="3">
        <v>6600</v>
      </c>
      <c r="G672" s="10">
        <f t="shared" si="13"/>
        <v>-4934797</v>
      </c>
    </row>
    <row r="673" spans="1:7" x14ac:dyDescent="0.2">
      <c r="A673" s="13">
        <v>44616</v>
      </c>
      <c r="C673" s="2" t="s">
        <v>473</v>
      </c>
      <c r="D673" s="1" t="s">
        <v>9</v>
      </c>
      <c r="E673" s="3">
        <f>477843+316110+156144+622813+537195+72116+37170</f>
        <v>2219391</v>
      </c>
      <c r="G673" s="10">
        <f t="shared" si="13"/>
        <v>-2715406</v>
      </c>
    </row>
    <row r="674" spans="1:7" x14ac:dyDescent="0.2">
      <c r="A674" s="13">
        <v>44617</v>
      </c>
      <c r="C674" s="2" t="s">
        <v>27</v>
      </c>
      <c r="D674" s="1" t="s">
        <v>9</v>
      </c>
      <c r="F674" s="3">
        <v>150000</v>
      </c>
      <c r="G674" s="10">
        <f t="shared" si="13"/>
        <v>-2865406</v>
      </c>
    </row>
    <row r="675" spans="1:7" x14ac:dyDescent="0.2">
      <c r="A675" s="13">
        <v>44620</v>
      </c>
      <c r="C675" s="2" t="s">
        <v>475</v>
      </c>
      <c r="D675" s="1" t="s">
        <v>9</v>
      </c>
      <c r="F675" s="3">
        <v>121108</v>
      </c>
      <c r="G675" s="10">
        <f t="shared" si="13"/>
        <v>-2986514</v>
      </c>
    </row>
    <row r="676" spans="1:7" ht="15.75" x14ac:dyDescent="0.25">
      <c r="A676" s="11" t="s">
        <v>476</v>
      </c>
      <c r="G676" s="10"/>
    </row>
    <row r="677" spans="1:7" x14ac:dyDescent="0.2">
      <c r="A677" s="12" t="s">
        <v>2</v>
      </c>
      <c r="B677" s="5" t="s">
        <v>1</v>
      </c>
      <c r="C677" s="5" t="s">
        <v>3</v>
      </c>
      <c r="D677" s="5"/>
      <c r="E677" s="8" t="s">
        <v>4</v>
      </c>
      <c r="F677" s="8" t="s">
        <v>6</v>
      </c>
      <c r="G677" s="9" t="s">
        <v>5</v>
      </c>
    </row>
    <row r="678" spans="1:7" x14ac:dyDescent="0.2">
      <c r="A678" s="13">
        <v>44621</v>
      </c>
      <c r="C678" s="2" t="s">
        <v>474</v>
      </c>
      <c r="D678" s="1" t="s">
        <v>9</v>
      </c>
      <c r="F678" s="3">
        <v>2553462</v>
      </c>
      <c r="G678" s="10">
        <f>G675+E678-F678</f>
        <v>-5539976</v>
      </c>
    </row>
    <row r="679" spans="1:7" x14ac:dyDescent="0.2">
      <c r="A679" s="13">
        <v>44621</v>
      </c>
      <c r="C679" s="2" t="s">
        <v>34</v>
      </c>
      <c r="D679" s="1" t="s">
        <v>9</v>
      </c>
      <c r="F679" s="3">
        <v>1238</v>
      </c>
      <c r="G679" s="10">
        <f t="shared" si="13"/>
        <v>-5541214</v>
      </c>
    </row>
    <row r="680" spans="1:7" x14ac:dyDescent="0.2">
      <c r="A680" s="13">
        <v>44622</v>
      </c>
      <c r="C680" s="2" t="s">
        <v>296</v>
      </c>
      <c r="D680" s="1" t="s">
        <v>9</v>
      </c>
      <c r="E680" s="3">
        <v>900000</v>
      </c>
      <c r="G680" s="10">
        <f t="shared" si="13"/>
        <v>-4641214</v>
      </c>
    </row>
    <row r="681" spans="1:7" x14ac:dyDescent="0.2">
      <c r="A681" s="13">
        <v>44622</v>
      </c>
      <c r="C681" s="2" t="s">
        <v>477</v>
      </c>
      <c r="D681" s="1" t="s">
        <v>9</v>
      </c>
      <c r="E681" s="3">
        <f>36913+37162+40403+124331+62304+405070</f>
        <v>706183</v>
      </c>
      <c r="G681" s="10">
        <f t="shared" si="13"/>
        <v>-3935031</v>
      </c>
    </row>
    <row r="682" spans="1:7" x14ac:dyDescent="0.2">
      <c r="A682" s="13">
        <v>44622</v>
      </c>
      <c r="C682" s="2" t="s">
        <v>53</v>
      </c>
      <c r="D682" s="1" t="s">
        <v>9</v>
      </c>
      <c r="F682" s="3">
        <v>100</v>
      </c>
      <c r="G682" s="10">
        <f t="shared" si="13"/>
        <v>-3935131</v>
      </c>
    </row>
    <row r="683" spans="1:7" x14ac:dyDescent="0.2">
      <c r="A683" s="13">
        <v>44622</v>
      </c>
      <c r="C683" s="2" t="s">
        <v>21</v>
      </c>
      <c r="D683" s="1" t="s">
        <v>9</v>
      </c>
      <c r="E683" s="3">
        <v>108324</v>
      </c>
      <c r="G683" s="10">
        <f t="shared" si="13"/>
        <v>-3826807</v>
      </c>
    </row>
    <row r="684" spans="1:7" x14ac:dyDescent="0.2">
      <c r="A684" s="13">
        <v>44622</v>
      </c>
      <c r="C684" s="2" t="s">
        <v>61</v>
      </c>
      <c r="D684" s="1" t="s">
        <v>9</v>
      </c>
      <c r="E684" s="3">
        <v>110625</v>
      </c>
      <c r="G684" s="10">
        <f t="shared" si="13"/>
        <v>-3716182</v>
      </c>
    </row>
    <row r="685" spans="1:7" x14ac:dyDescent="0.2">
      <c r="A685" s="13">
        <v>44623</v>
      </c>
      <c r="C685" s="2" t="s">
        <v>472</v>
      </c>
      <c r="D685" s="1" t="s">
        <v>9</v>
      </c>
      <c r="F685" s="3">
        <f>1747535+59809</f>
        <v>1807344</v>
      </c>
      <c r="G685" s="10">
        <f t="shared" si="13"/>
        <v>-5523526</v>
      </c>
    </row>
    <row r="686" spans="1:7" x14ac:dyDescent="0.2">
      <c r="A686" s="13">
        <v>44623</v>
      </c>
      <c r="C686" s="2" t="s">
        <v>478</v>
      </c>
      <c r="D686" s="1" t="s">
        <v>9</v>
      </c>
      <c r="F686" s="3">
        <f>1436856</f>
        <v>1436856</v>
      </c>
      <c r="G686" s="10">
        <f t="shared" si="13"/>
        <v>-6960382</v>
      </c>
    </row>
    <row r="687" spans="1:7" x14ac:dyDescent="0.2">
      <c r="A687" s="13">
        <v>44623</v>
      </c>
      <c r="C687" s="2" t="s">
        <v>479</v>
      </c>
      <c r="D687" s="1" t="s">
        <v>9</v>
      </c>
      <c r="F687" s="3">
        <f>6058452+144956</f>
        <v>6203408</v>
      </c>
      <c r="G687" s="10">
        <f t="shared" si="13"/>
        <v>-13163790</v>
      </c>
    </row>
    <row r="688" spans="1:7" x14ac:dyDescent="0.2">
      <c r="A688" s="13">
        <v>44624</v>
      </c>
      <c r="C688" s="2" t="s">
        <v>480</v>
      </c>
      <c r="D688" s="1" t="s">
        <v>9</v>
      </c>
      <c r="E688" s="3">
        <f>141624+97232+556016+34102</f>
        <v>828974</v>
      </c>
      <c r="G688" s="10">
        <f t="shared" si="13"/>
        <v>-12334816</v>
      </c>
    </row>
    <row r="689" spans="1:7" x14ac:dyDescent="0.2">
      <c r="A689" s="13">
        <v>44624</v>
      </c>
      <c r="C689" s="2" t="s">
        <v>84</v>
      </c>
      <c r="D689" s="1" t="s">
        <v>9</v>
      </c>
      <c r="F689" s="3">
        <v>185185</v>
      </c>
      <c r="G689" s="10">
        <f t="shared" si="13"/>
        <v>-12520001</v>
      </c>
    </row>
    <row r="690" spans="1:7" x14ac:dyDescent="0.2">
      <c r="A690" s="13">
        <v>44627</v>
      </c>
      <c r="C690" s="2" t="s">
        <v>116</v>
      </c>
      <c r="D690" s="1" t="s">
        <v>9</v>
      </c>
      <c r="E690" s="3">
        <v>118944</v>
      </c>
      <c r="G690" s="10">
        <f t="shared" si="13"/>
        <v>-12401057</v>
      </c>
    </row>
    <row r="691" spans="1:7" x14ac:dyDescent="0.2">
      <c r="A691" s="13">
        <v>44629</v>
      </c>
      <c r="C691" s="2" t="s">
        <v>76</v>
      </c>
      <c r="D691" s="1" t="s">
        <v>9</v>
      </c>
      <c r="E691" s="3">
        <v>54374</v>
      </c>
      <c r="G691" s="10">
        <f t="shared" si="13"/>
        <v>-12346683</v>
      </c>
    </row>
    <row r="692" spans="1:7" x14ac:dyDescent="0.2">
      <c r="A692" s="13">
        <v>44630</v>
      </c>
      <c r="B692" s="22" t="s">
        <v>481</v>
      </c>
      <c r="C692" s="23" t="s">
        <v>150</v>
      </c>
      <c r="D692" s="1" t="s">
        <v>9</v>
      </c>
      <c r="F692" s="3">
        <v>228000</v>
      </c>
      <c r="G692" s="10">
        <f t="shared" si="13"/>
        <v>-12574683</v>
      </c>
    </row>
    <row r="693" spans="1:7" x14ac:dyDescent="0.2">
      <c r="A693" s="13">
        <v>44630</v>
      </c>
      <c r="C693" s="2" t="s">
        <v>15</v>
      </c>
      <c r="D693" s="1" t="s">
        <v>9</v>
      </c>
      <c r="E693" s="3">
        <v>169066</v>
      </c>
      <c r="G693" s="10">
        <f t="shared" si="13"/>
        <v>-12405617</v>
      </c>
    </row>
    <row r="694" spans="1:7" x14ac:dyDescent="0.2">
      <c r="A694" s="13">
        <v>44630</v>
      </c>
      <c r="B694" s="22" t="s">
        <v>482</v>
      </c>
      <c r="C694" s="23" t="s">
        <v>154</v>
      </c>
      <c r="D694" s="1" t="s">
        <v>9</v>
      </c>
      <c r="F694" s="3">
        <v>446410</v>
      </c>
      <c r="G694" s="10">
        <f t="shared" si="13"/>
        <v>-12852027</v>
      </c>
    </row>
    <row r="695" spans="1:7" x14ac:dyDescent="0.2">
      <c r="A695" s="13">
        <v>44631</v>
      </c>
      <c r="C695" s="2" t="s">
        <v>483</v>
      </c>
      <c r="D695" s="1" t="s">
        <v>9</v>
      </c>
      <c r="F695" s="3">
        <f>935000</f>
        <v>935000</v>
      </c>
      <c r="G695" s="10">
        <f t="shared" si="13"/>
        <v>-13787027</v>
      </c>
    </row>
    <row r="696" spans="1:7" x14ac:dyDescent="0.2">
      <c r="A696" s="13">
        <v>44631</v>
      </c>
      <c r="C696" s="2" t="s">
        <v>484</v>
      </c>
      <c r="D696" s="1" t="s">
        <v>9</v>
      </c>
      <c r="F696" s="3">
        <f>765502+275</f>
        <v>765777</v>
      </c>
      <c r="G696" s="10">
        <f t="shared" si="13"/>
        <v>-14552804</v>
      </c>
    </row>
    <row r="697" spans="1:7" x14ac:dyDescent="0.2">
      <c r="A697" s="13">
        <v>44631</v>
      </c>
      <c r="C697" s="2" t="s">
        <v>485</v>
      </c>
      <c r="D697" s="1" t="s">
        <v>9</v>
      </c>
      <c r="F697" s="3">
        <f>216000+275</f>
        <v>216275</v>
      </c>
      <c r="G697" s="10">
        <f t="shared" si="13"/>
        <v>-14769079</v>
      </c>
    </row>
    <row r="698" spans="1:7" x14ac:dyDescent="0.2">
      <c r="A698" s="13">
        <v>44631</v>
      </c>
      <c r="C698" s="2" t="s">
        <v>486</v>
      </c>
      <c r="D698" s="1" t="s">
        <v>9</v>
      </c>
      <c r="F698" s="3">
        <f>2828793+275</f>
        <v>2829068</v>
      </c>
      <c r="G698" s="10">
        <f t="shared" si="13"/>
        <v>-17598147</v>
      </c>
    </row>
    <row r="699" spans="1:7" x14ac:dyDescent="0.2">
      <c r="A699" s="13">
        <v>44631</v>
      </c>
      <c r="C699" s="2" t="s">
        <v>402</v>
      </c>
      <c r="D699" s="1" t="s">
        <v>9</v>
      </c>
      <c r="F699" s="3">
        <f>492849</f>
        <v>492849</v>
      </c>
      <c r="G699" s="10">
        <f t="shared" si="13"/>
        <v>-18090996</v>
      </c>
    </row>
    <row r="700" spans="1:7" x14ac:dyDescent="0.2">
      <c r="A700" s="13">
        <v>44631</v>
      </c>
      <c r="C700" s="2" t="s">
        <v>487</v>
      </c>
      <c r="D700" s="1" t="s">
        <v>9</v>
      </c>
      <c r="F700" s="3">
        <f>189991+275</f>
        <v>190266</v>
      </c>
      <c r="G700" s="10">
        <f t="shared" si="13"/>
        <v>-18281262</v>
      </c>
    </row>
    <row r="701" spans="1:7" x14ac:dyDescent="0.2">
      <c r="A701" s="13">
        <v>44631</v>
      </c>
      <c r="C701" s="2" t="s">
        <v>488</v>
      </c>
      <c r="D701" s="1" t="s">
        <v>9</v>
      </c>
      <c r="F701" s="3">
        <f>432906+275</f>
        <v>433181</v>
      </c>
      <c r="G701" s="10">
        <f t="shared" si="13"/>
        <v>-18714443</v>
      </c>
    </row>
    <row r="702" spans="1:7" x14ac:dyDescent="0.2">
      <c r="A702" s="13">
        <v>44631</v>
      </c>
      <c r="C702" s="2" t="s">
        <v>489</v>
      </c>
      <c r="D702" s="1" t="s">
        <v>9</v>
      </c>
      <c r="E702" s="3">
        <f>1239977+112395</f>
        <v>1352372</v>
      </c>
      <c r="G702" s="10">
        <f t="shared" si="13"/>
        <v>-17362071</v>
      </c>
    </row>
    <row r="703" spans="1:7" x14ac:dyDescent="0.2">
      <c r="A703" s="13">
        <v>44631</v>
      </c>
      <c r="C703" s="2" t="s">
        <v>490</v>
      </c>
      <c r="D703" s="1" t="s">
        <v>9</v>
      </c>
      <c r="E703" s="3">
        <v>2000000</v>
      </c>
      <c r="G703" s="10">
        <f t="shared" si="13"/>
        <v>-15362071</v>
      </c>
    </row>
    <row r="704" spans="1:7" x14ac:dyDescent="0.2">
      <c r="A704" s="13">
        <v>44631</v>
      </c>
      <c r="C704" s="2" t="s">
        <v>53</v>
      </c>
      <c r="D704" s="1" t="s">
        <v>9</v>
      </c>
      <c r="F704" s="3">
        <v>100</v>
      </c>
      <c r="G704" s="10">
        <f t="shared" si="13"/>
        <v>-15362171</v>
      </c>
    </row>
    <row r="705" spans="1:9" s="29" customFormat="1" x14ac:dyDescent="0.2">
      <c r="A705" s="21">
        <v>44635</v>
      </c>
      <c r="B705" s="22"/>
      <c r="C705" s="23" t="s">
        <v>501</v>
      </c>
      <c r="D705" s="22" t="s">
        <v>9</v>
      </c>
      <c r="E705" s="24"/>
      <c r="F705" s="24">
        <v>1460000</v>
      </c>
      <c r="G705" s="10">
        <f t="shared" si="13"/>
        <v>-16822171</v>
      </c>
      <c r="H705" s="28"/>
      <c r="I705" s="27"/>
    </row>
    <row r="706" spans="1:9" x14ac:dyDescent="0.2">
      <c r="A706" s="13">
        <v>44635</v>
      </c>
      <c r="C706" s="2" t="s">
        <v>20</v>
      </c>
      <c r="D706" s="1" t="s">
        <v>9</v>
      </c>
      <c r="F706" s="3">
        <v>3300</v>
      </c>
      <c r="G706" s="10">
        <f t="shared" si="13"/>
        <v>-16825471</v>
      </c>
    </row>
    <row r="707" spans="1:9" x14ac:dyDescent="0.2">
      <c r="A707" s="13">
        <v>44635</v>
      </c>
      <c r="B707" s="1" t="s">
        <v>503</v>
      </c>
      <c r="C707" s="2" t="s">
        <v>502</v>
      </c>
      <c r="D707" s="1" t="s">
        <v>9</v>
      </c>
      <c r="F707" s="3">
        <v>165000</v>
      </c>
      <c r="G707" s="10">
        <f t="shared" si="13"/>
        <v>-16990471</v>
      </c>
    </row>
    <row r="708" spans="1:9" x14ac:dyDescent="0.2">
      <c r="A708" s="13">
        <v>44635</v>
      </c>
      <c r="C708" s="2" t="s">
        <v>499</v>
      </c>
      <c r="D708" s="1" t="s">
        <v>9</v>
      </c>
      <c r="E708" s="3">
        <v>5000000</v>
      </c>
      <c r="G708" s="10">
        <f t="shared" si="13"/>
        <v>-11990471</v>
      </c>
    </row>
    <row r="709" spans="1:9" x14ac:dyDescent="0.2">
      <c r="A709" s="13">
        <v>44635</v>
      </c>
      <c r="C709" s="2" t="s">
        <v>498</v>
      </c>
      <c r="D709" s="1" t="s">
        <v>9</v>
      </c>
      <c r="E709" s="3">
        <v>714402</v>
      </c>
      <c r="G709" s="10">
        <f t="shared" si="13"/>
        <v>-11276069</v>
      </c>
    </row>
    <row r="710" spans="1:9" x14ac:dyDescent="0.2">
      <c r="A710" s="13">
        <v>44636</v>
      </c>
      <c r="C710" s="2" t="s">
        <v>497</v>
      </c>
      <c r="D710" s="1" t="s">
        <v>9</v>
      </c>
      <c r="E710" s="3">
        <v>115475</v>
      </c>
      <c r="G710" s="10">
        <f t="shared" si="13"/>
        <v>-11160594</v>
      </c>
    </row>
    <row r="711" spans="1:9" x14ac:dyDescent="0.2">
      <c r="A711" s="13">
        <v>44637</v>
      </c>
      <c r="C711" s="2" t="s">
        <v>491</v>
      </c>
      <c r="D711" s="1" t="s">
        <v>9</v>
      </c>
      <c r="E711" s="3">
        <f>62437+141458+251954+129016+19187+872826</f>
        <v>1476878</v>
      </c>
      <c r="G711" s="10">
        <f t="shared" si="13"/>
        <v>-9683716</v>
      </c>
    </row>
    <row r="712" spans="1:9" x14ac:dyDescent="0.2">
      <c r="A712" s="13">
        <v>44638</v>
      </c>
      <c r="C712" s="2" t="s">
        <v>492</v>
      </c>
      <c r="D712" s="1" t="s">
        <v>9</v>
      </c>
      <c r="E712" s="3">
        <f>126449+156492+420376+497960</f>
        <v>1201277</v>
      </c>
      <c r="G712" s="10">
        <f t="shared" ref="G712:G774" si="14">G711+E712-F712</f>
        <v>-8482439</v>
      </c>
    </row>
    <row r="713" spans="1:9" x14ac:dyDescent="0.2">
      <c r="A713" s="13">
        <v>44641</v>
      </c>
      <c r="C713" s="2" t="s">
        <v>496</v>
      </c>
      <c r="D713" s="1" t="s">
        <v>9</v>
      </c>
      <c r="E713" s="3">
        <v>6528332</v>
      </c>
      <c r="G713" s="10">
        <f t="shared" si="14"/>
        <v>-1954107</v>
      </c>
    </row>
    <row r="714" spans="1:9" x14ac:dyDescent="0.2">
      <c r="A714" s="13">
        <v>44641</v>
      </c>
      <c r="C714" s="2" t="s">
        <v>168</v>
      </c>
      <c r="D714" s="1" t="s">
        <v>9</v>
      </c>
      <c r="E714" s="3">
        <v>1138358</v>
      </c>
      <c r="G714" s="10">
        <f t="shared" si="14"/>
        <v>-815749</v>
      </c>
    </row>
    <row r="715" spans="1:9" x14ac:dyDescent="0.2">
      <c r="A715" s="13">
        <v>44641</v>
      </c>
      <c r="C715" s="2" t="s">
        <v>76</v>
      </c>
      <c r="D715" s="1" t="s">
        <v>9</v>
      </c>
      <c r="E715" s="3">
        <v>59000</v>
      </c>
      <c r="G715" s="10">
        <f t="shared" si="14"/>
        <v>-756749</v>
      </c>
    </row>
    <row r="716" spans="1:9" x14ac:dyDescent="0.2">
      <c r="A716" s="13">
        <v>44641</v>
      </c>
      <c r="C716" s="2" t="s">
        <v>61</v>
      </c>
      <c r="D716" s="1" t="s">
        <v>9</v>
      </c>
      <c r="E716" s="3">
        <v>1515026</v>
      </c>
      <c r="G716" s="10">
        <f t="shared" si="14"/>
        <v>758277</v>
      </c>
    </row>
    <row r="717" spans="1:9" x14ac:dyDescent="0.2">
      <c r="A717" s="13">
        <v>44641</v>
      </c>
      <c r="C717" s="2" t="s">
        <v>495</v>
      </c>
      <c r="D717" s="1" t="s">
        <v>9</v>
      </c>
      <c r="E717" s="3">
        <v>336300</v>
      </c>
      <c r="G717" s="10">
        <f t="shared" si="14"/>
        <v>1094577</v>
      </c>
    </row>
    <row r="718" spans="1:9" x14ac:dyDescent="0.2">
      <c r="A718" s="13">
        <v>44642</v>
      </c>
      <c r="C718" s="2" t="s">
        <v>493</v>
      </c>
      <c r="D718" s="1" t="s">
        <v>9</v>
      </c>
      <c r="E718" s="3">
        <f>506014+124874+277448+127612+348873+280840+2686624</f>
        <v>4352285</v>
      </c>
      <c r="G718" s="10">
        <f t="shared" si="14"/>
        <v>5446862</v>
      </c>
    </row>
    <row r="719" spans="1:9" x14ac:dyDescent="0.2">
      <c r="A719" s="13">
        <v>44643</v>
      </c>
      <c r="C719" s="2" t="s">
        <v>494</v>
      </c>
      <c r="D719" s="1" t="s">
        <v>9</v>
      </c>
      <c r="F719" s="3">
        <f>946091</f>
        <v>946091</v>
      </c>
      <c r="G719" s="10">
        <f t="shared" si="14"/>
        <v>4500771</v>
      </c>
    </row>
    <row r="720" spans="1:9" x14ac:dyDescent="0.2">
      <c r="A720" s="13">
        <v>44643</v>
      </c>
      <c r="B720" s="22" t="s">
        <v>500</v>
      </c>
      <c r="C720" s="23" t="s">
        <v>150</v>
      </c>
      <c r="D720" s="1" t="s">
        <v>9</v>
      </c>
      <c r="F720" s="3">
        <v>114000</v>
      </c>
      <c r="G720" s="10">
        <f t="shared" si="14"/>
        <v>4386771</v>
      </c>
    </row>
    <row r="721" spans="1:7" x14ac:dyDescent="0.2">
      <c r="A721" s="13">
        <v>44643</v>
      </c>
      <c r="C721" s="2" t="s">
        <v>21</v>
      </c>
      <c r="D721" s="1" t="s">
        <v>9</v>
      </c>
      <c r="E721" s="3">
        <v>63189</v>
      </c>
      <c r="G721" s="10">
        <f t="shared" si="14"/>
        <v>4449960</v>
      </c>
    </row>
    <row r="722" spans="1:7" x14ac:dyDescent="0.2">
      <c r="A722" s="13">
        <v>44644</v>
      </c>
      <c r="C722" s="2" t="s">
        <v>504</v>
      </c>
      <c r="D722" s="1" t="s">
        <v>9</v>
      </c>
      <c r="E722" s="3">
        <f>756719+250473+27942+74473</f>
        <v>1109607</v>
      </c>
      <c r="G722" s="10">
        <f t="shared" si="14"/>
        <v>5559567</v>
      </c>
    </row>
    <row r="723" spans="1:7" x14ac:dyDescent="0.2">
      <c r="A723" s="13">
        <v>44645</v>
      </c>
      <c r="C723" s="2" t="s">
        <v>27</v>
      </c>
      <c r="D723" s="1" t="s">
        <v>9</v>
      </c>
      <c r="F723" s="3">
        <v>150000</v>
      </c>
      <c r="G723" s="10">
        <f t="shared" si="14"/>
        <v>5409567</v>
      </c>
    </row>
    <row r="724" spans="1:7" x14ac:dyDescent="0.2">
      <c r="A724" s="13">
        <v>44648</v>
      </c>
      <c r="C724" s="2" t="s">
        <v>35</v>
      </c>
      <c r="D724" s="1" t="s">
        <v>9</v>
      </c>
      <c r="F724" s="3">
        <v>6600</v>
      </c>
      <c r="G724" s="10">
        <f t="shared" si="14"/>
        <v>5402967</v>
      </c>
    </row>
    <row r="725" spans="1:7" x14ac:dyDescent="0.2">
      <c r="A725" s="13">
        <v>44648</v>
      </c>
      <c r="C725" s="2" t="s">
        <v>45</v>
      </c>
      <c r="D725" s="1" t="s">
        <v>9</v>
      </c>
      <c r="E725" s="3">
        <v>729901</v>
      </c>
      <c r="G725" s="10">
        <f t="shared" si="14"/>
        <v>6132868</v>
      </c>
    </row>
    <row r="726" spans="1:7" x14ac:dyDescent="0.2">
      <c r="A726" s="13">
        <v>44649</v>
      </c>
      <c r="C726" s="2" t="s">
        <v>506</v>
      </c>
      <c r="D726" s="1" t="s">
        <v>9</v>
      </c>
      <c r="E726" s="3">
        <v>3573820</v>
      </c>
      <c r="G726" s="10">
        <f t="shared" si="14"/>
        <v>9706688</v>
      </c>
    </row>
    <row r="727" spans="1:7" x14ac:dyDescent="0.2">
      <c r="A727" s="13">
        <v>44649</v>
      </c>
      <c r="C727" s="2" t="s">
        <v>505</v>
      </c>
      <c r="D727" s="1" t="s">
        <v>9</v>
      </c>
      <c r="E727" s="3">
        <v>481313</v>
      </c>
      <c r="G727" s="10">
        <f t="shared" si="14"/>
        <v>10188001</v>
      </c>
    </row>
    <row r="728" spans="1:7" x14ac:dyDescent="0.2">
      <c r="A728" s="13">
        <v>44650</v>
      </c>
      <c r="C728" s="2" t="s">
        <v>507</v>
      </c>
      <c r="D728" s="1" t="s">
        <v>9</v>
      </c>
      <c r="E728" s="3">
        <f>14585+835905+205426</f>
        <v>1055916</v>
      </c>
      <c r="G728" s="10">
        <f t="shared" si="14"/>
        <v>11243917</v>
      </c>
    </row>
    <row r="729" spans="1:7" x14ac:dyDescent="0.2">
      <c r="A729" s="13">
        <v>44651</v>
      </c>
      <c r="C729" s="2" t="s">
        <v>511</v>
      </c>
      <c r="D729" s="1" t="s">
        <v>9</v>
      </c>
      <c r="F729" s="3">
        <v>651274</v>
      </c>
      <c r="G729" s="10">
        <f t="shared" si="14"/>
        <v>10592643</v>
      </c>
    </row>
    <row r="730" spans="1:7" x14ac:dyDescent="0.2">
      <c r="A730" s="13">
        <v>44651</v>
      </c>
      <c r="C730" s="2" t="s">
        <v>508</v>
      </c>
      <c r="D730" s="1" t="s">
        <v>9</v>
      </c>
      <c r="F730" s="3">
        <v>134248</v>
      </c>
      <c r="G730" s="10">
        <f t="shared" si="14"/>
        <v>10458395</v>
      </c>
    </row>
    <row r="731" spans="1:7" x14ac:dyDescent="0.2">
      <c r="A731" s="13">
        <v>44651</v>
      </c>
      <c r="C731" s="2" t="s">
        <v>165</v>
      </c>
      <c r="D731" s="1" t="s">
        <v>9</v>
      </c>
      <c r="E731" s="3">
        <v>115376</v>
      </c>
      <c r="G731" s="10">
        <f t="shared" si="14"/>
        <v>10573771</v>
      </c>
    </row>
    <row r="732" spans="1:7" ht="15.75" x14ac:dyDescent="0.25">
      <c r="A732" s="11" t="s">
        <v>510</v>
      </c>
      <c r="G732" s="10"/>
    </row>
    <row r="733" spans="1:7" x14ac:dyDescent="0.2">
      <c r="A733" s="12" t="s">
        <v>2</v>
      </c>
      <c r="B733" s="5" t="s">
        <v>1</v>
      </c>
      <c r="C733" s="5" t="s">
        <v>3</v>
      </c>
      <c r="D733" s="5"/>
      <c r="E733" s="8" t="s">
        <v>4</v>
      </c>
      <c r="F733" s="8" t="s">
        <v>6</v>
      </c>
      <c r="G733" s="9" t="s">
        <v>5</v>
      </c>
    </row>
    <row r="734" spans="1:7" x14ac:dyDescent="0.2">
      <c r="A734" s="13">
        <v>44652</v>
      </c>
      <c r="C734" s="2" t="s">
        <v>509</v>
      </c>
      <c r="D734" s="1" t="s">
        <v>9</v>
      </c>
      <c r="F734" s="3">
        <v>2674271</v>
      </c>
      <c r="G734" s="10">
        <f>G731+E734-F734</f>
        <v>7899500</v>
      </c>
    </row>
    <row r="735" spans="1:7" x14ac:dyDescent="0.2">
      <c r="A735" s="13">
        <v>44652</v>
      </c>
      <c r="C735" s="2" t="s">
        <v>34</v>
      </c>
      <c r="D735" s="1" t="s">
        <v>9</v>
      </c>
      <c r="F735" s="3">
        <v>1000</v>
      </c>
      <c r="G735" s="10">
        <f t="shared" si="14"/>
        <v>7898500</v>
      </c>
    </row>
    <row r="736" spans="1:7" x14ac:dyDescent="0.2">
      <c r="A736" s="13">
        <v>44655</v>
      </c>
      <c r="C736" s="2" t="s">
        <v>512</v>
      </c>
      <c r="D736" s="1" t="s">
        <v>9</v>
      </c>
      <c r="F736" s="3">
        <v>6600</v>
      </c>
      <c r="G736" s="10">
        <f t="shared" si="14"/>
        <v>7891900</v>
      </c>
    </row>
    <row r="737" spans="1:7" x14ac:dyDescent="0.2">
      <c r="A737" s="13">
        <v>44655</v>
      </c>
      <c r="C737" s="2" t="s">
        <v>84</v>
      </c>
      <c r="D737" s="1" t="s">
        <v>9</v>
      </c>
      <c r="F737" s="3">
        <v>185185</v>
      </c>
      <c r="G737" s="10">
        <f t="shared" si="14"/>
        <v>7706715</v>
      </c>
    </row>
    <row r="738" spans="1:7" x14ac:dyDescent="0.2">
      <c r="A738" s="21">
        <v>44656</v>
      </c>
      <c r="B738" s="22" t="s">
        <v>513</v>
      </c>
      <c r="C738" s="23" t="s">
        <v>522</v>
      </c>
      <c r="D738" s="22" t="s">
        <v>9</v>
      </c>
      <c r="E738" s="24"/>
      <c r="F738" s="24">
        <v>88093</v>
      </c>
      <c r="G738" s="10">
        <f t="shared" si="14"/>
        <v>7618622</v>
      </c>
    </row>
    <row r="739" spans="1:7" x14ac:dyDescent="0.2">
      <c r="A739" s="13">
        <v>44656</v>
      </c>
      <c r="C739" s="2" t="s">
        <v>21</v>
      </c>
      <c r="D739" s="1" t="s">
        <v>9</v>
      </c>
      <c r="E739" s="3">
        <v>277330</v>
      </c>
      <c r="G739" s="10">
        <f t="shared" si="14"/>
        <v>7895952</v>
      </c>
    </row>
    <row r="740" spans="1:7" x14ac:dyDescent="0.2">
      <c r="A740" s="13">
        <v>44656</v>
      </c>
      <c r="C740" s="2" t="s">
        <v>514</v>
      </c>
      <c r="D740" s="1" t="s">
        <v>9</v>
      </c>
      <c r="F740" s="3">
        <f>6507894+153836</f>
        <v>6661730</v>
      </c>
      <c r="G740" s="10">
        <f t="shared" si="14"/>
        <v>1234222</v>
      </c>
    </row>
    <row r="741" spans="1:7" x14ac:dyDescent="0.2">
      <c r="A741" s="13">
        <v>44656</v>
      </c>
      <c r="C741" s="2" t="s">
        <v>515</v>
      </c>
      <c r="D741" s="1" t="s">
        <v>9</v>
      </c>
      <c r="F741" s="3">
        <f>2265918+70054</f>
        <v>2335972</v>
      </c>
      <c r="G741" s="10">
        <f t="shared" si="14"/>
        <v>-1101750</v>
      </c>
    </row>
    <row r="742" spans="1:7" x14ac:dyDescent="0.2">
      <c r="A742" s="13">
        <v>44657</v>
      </c>
      <c r="C742" s="2" t="s">
        <v>440</v>
      </c>
      <c r="D742" s="1" t="s">
        <v>9</v>
      </c>
      <c r="E742" s="3">
        <v>155495</v>
      </c>
      <c r="G742" s="10">
        <f t="shared" si="14"/>
        <v>-946255</v>
      </c>
    </row>
    <row r="743" spans="1:7" x14ac:dyDescent="0.2">
      <c r="A743" s="13">
        <v>44658</v>
      </c>
      <c r="C743" s="2" t="s">
        <v>217</v>
      </c>
      <c r="D743" s="1" t="s">
        <v>9</v>
      </c>
      <c r="E743" s="3">
        <v>2556558</v>
      </c>
      <c r="G743" s="10">
        <f t="shared" si="14"/>
        <v>1610303</v>
      </c>
    </row>
    <row r="744" spans="1:7" x14ac:dyDescent="0.2">
      <c r="A744" s="13">
        <v>44658</v>
      </c>
      <c r="C744" s="2" t="s">
        <v>516</v>
      </c>
      <c r="D744" s="1" t="s">
        <v>9</v>
      </c>
      <c r="E744" s="3">
        <f>20650+14160+94949+97793+254378+135305+58374+300000</f>
        <v>975609</v>
      </c>
      <c r="G744" s="10">
        <f t="shared" si="14"/>
        <v>2585912</v>
      </c>
    </row>
    <row r="745" spans="1:7" x14ac:dyDescent="0.2">
      <c r="A745" s="13">
        <v>44662</v>
      </c>
      <c r="C745" s="2" t="s">
        <v>517</v>
      </c>
      <c r="D745" s="1" t="s">
        <v>9</v>
      </c>
      <c r="F745" s="3">
        <f>1772634+275</f>
        <v>1772909</v>
      </c>
      <c r="G745" s="10">
        <f t="shared" si="14"/>
        <v>813003</v>
      </c>
    </row>
    <row r="746" spans="1:7" x14ac:dyDescent="0.2">
      <c r="A746" s="13">
        <v>44662</v>
      </c>
      <c r="C746" s="2" t="s">
        <v>488</v>
      </c>
      <c r="D746" s="1" t="s">
        <v>9</v>
      </c>
      <c r="F746" s="3">
        <f>432906+275</f>
        <v>433181</v>
      </c>
      <c r="G746" s="10">
        <f t="shared" si="14"/>
        <v>379822</v>
      </c>
    </row>
    <row r="747" spans="1:7" x14ac:dyDescent="0.2">
      <c r="A747" s="13">
        <v>44662</v>
      </c>
      <c r="C747" s="2" t="s">
        <v>518</v>
      </c>
      <c r="D747" s="1" t="s">
        <v>9</v>
      </c>
      <c r="F747" s="3">
        <f>935000+275</f>
        <v>935275</v>
      </c>
      <c r="G747" s="10">
        <f t="shared" si="14"/>
        <v>-555453</v>
      </c>
    </row>
    <row r="748" spans="1:7" x14ac:dyDescent="0.2">
      <c r="A748" s="13">
        <v>44662</v>
      </c>
      <c r="C748" s="2" t="s">
        <v>519</v>
      </c>
      <c r="D748" s="1" t="s">
        <v>9</v>
      </c>
      <c r="F748" s="3">
        <f>24736</f>
        <v>24736</v>
      </c>
      <c r="G748" s="10">
        <f t="shared" si="14"/>
        <v>-580189</v>
      </c>
    </row>
    <row r="749" spans="1:7" x14ac:dyDescent="0.2">
      <c r="A749" s="13">
        <v>44662</v>
      </c>
      <c r="C749" s="2" t="s">
        <v>520</v>
      </c>
      <c r="D749" s="1" t="s">
        <v>9</v>
      </c>
      <c r="F749" s="3">
        <f>113486</f>
        <v>113486</v>
      </c>
      <c r="G749" s="10">
        <f t="shared" si="14"/>
        <v>-693675</v>
      </c>
    </row>
    <row r="750" spans="1:7" x14ac:dyDescent="0.2">
      <c r="A750" s="13">
        <v>44662</v>
      </c>
      <c r="C750" s="2" t="s">
        <v>137</v>
      </c>
      <c r="D750" s="1" t="s">
        <v>9</v>
      </c>
      <c r="E750" s="3">
        <v>730620</v>
      </c>
      <c r="G750" s="10">
        <f t="shared" si="14"/>
        <v>36945</v>
      </c>
    </row>
    <row r="751" spans="1:7" x14ac:dyDescent="0.2">
      <c r="A751" s="13">
        <v>44662</v>
      </c>
      <c r="C751" s="2" t="s">
        <v>521</v>
      </c>
      <c r="D751" s="1" t="s">
        <v>9</v>
      </c>
      <c r="F751" s="3">
        <f>590020</f>
        <v>590020</v>
      </c>
      <c r="G751" s="10">
        <f t="shared" si="14"/>
        <v>-553075</v>
      </c>
    </row>
    <row r="752" spans="1:7" x14ac:dyDescent="0.2">
      <c r="A752" s="13">
        <v>44663</v>
      </c>
      <c r="B752" s="22" t="s">
        <v>526</v>
      </c>
      <c r="C752" s="2" t="s">
        <v>430</v>
      </c>
      <c r="D752" s="1" t="s">
        <v>9</v>
      </c>
      <c r="F752" s="3">
        <v>1325833</v>
      </c>
      <c r="G752" s="10">
        <f t="shared" si="14"/>
        <v>-1878908</v>
      </c>
    </row>
    <row r="753" spans="1:7" x14ac:dyDescent="0.2">
      <c r="A753" s="13">
        <v>44663</v>
      </c>
      <c r="C753" s="2" t="s">
        <v>523</v>
      </c>
      <c r="D753" s="1" t="s">
        <v>9</v>
      </c>
      <c r="E753" s="3">
        <f>11033+58225+71815+105501+80836+318555+363307</f>
        <v>1009272</v>
      </c>
      <c r="G753" s="10">
        <f t="shared" si="14"/>
        <v>-869636</v>
      </c>
    </row>
    <row r="754" spans="1:7" x14ac:dyDescent="0.2">
      <c r="A754" s="13">
        <v>44663</v>
      </c>
      <c r="C754" s="2" t="s">
        <v>505</v>
      </c>
      <c r="D754" s="1" t="s">
        <v>9</v>
      </c>
      <c r="E754" s="3">
        <v>41438</v>
      </c>
      <c r="G754" s="10">
        <f t="shared" si="14"/>
        <v>-828198</v>
      </c>
    </row>
    <row r="755" spans="1:7" x14ac:dyDescent="0.2">
      <c r="A755" s="13">
        <v>44663</v>
      </c>
      <c r="C755" s="2" t="s">
        <v>18</v>
      </c>
      <c r="D755" s="1" t="s">
        <v>9</v>
      </c>
      <c r="E755" s="3">
        <v>645576</v>
      </c>
      <c r="G755" s="10">
        <f t="shared" si="14"/>
        <v>-182622</v>
      </c>
    </row>
    <row r="756" spans="1:7" x14ac:dyDescent="0.2">
      <c r="A756" s="13">
        <v>44663</v>
      </c>
      <c r="C756" s="2" t="s">
        <v>351</v>
      </c>
      <c r="D756" s="1" t="s">
        <v>9</v>
      </c>
      <c r="E756" s="3">
        <v>140420</v>
      </c>
      <c r="G756" s="10">
        <f t="shared" si="14"/>
        <v>-42202</v>
      </c>
    </row>
    <row r="757" spans="1:7" x14ac:dyDescent="0.2">
      <c r="A757" s="13">
        <v>44664</v>
      </c>
      <c r="C757" s="2" t="s">
        <v>524</v>
      </c>
      <c r="D757" s="1" t="s">
        <v>9</v>
      </c>
      <c r="E757" s="3">
        <f>1232097+278082</f>
        <v>1510179</v>
      </c>
      <c r="G757" s="10">
        <f t="shared" si="14"/>
        <v>1467977</v>
      </c>
    </row>
    <row r="758" spans="1:7" x14ac:dyDescent="0.2">
      <c r="A758" s="13">
        <v>44664</v>
      </c>
      <c r="C758" s="2" t="s">
        <v>525</v>
      </c>
      <c r="D758" s="1" t="s">
        <v>9</v>
      </c>
      <c r="F758" s="3">
        <v>61035</v>
      </c>
      <c r="G758" s="10">
        <f t="shared" si="14"/>
        <v>1406942</v>
      </c>
    </row>
    <row r="759" spans="1:7" x14ac:dyDescent="0.2">
      <c r="A759" s="13">
        <v>44664</v>
      </c>
      <c r="C759" s="2" t="s">
        <v>525</v>
      </c>
      <c r="D759" s="1" t="s">
        <v>9</v>
      </c>
      <c r="F759" s="3">
        <v>962920</v>
      </c>
      <c r="G759" s="10">
        <f t="shared" si="14"/>
        <v>444022</v>
      </c>
    </row>
    <row r="760" spans="1:7" x14ac:dyDescent="0.2">
      <c r="A760" s="13">
        <v>44664</v>
      </c>
      <c r="C760" s="2" t="s">
        <v>525</v>
      </c>
      <c r="D760" s="1" t="s">
        <v>9</v>
      </c>
      <c r="F760" s="3">
        <v>2000000</v>
      </c>
      <c r="G760" s="10">
        <f t="shared" si="14"/>
        <v>-1555978</v>
      </c>
    </row>
    <row r="761" spans="1:7" x14ac:dyDescent="0.2">
      <c r="A761" s="13">
        <v>44666</v>
      </c>
      <c r="C761" s="2" t="s">
        <v>296</v>
      </c>
      <c r="D761" s="1" t="s">
        <v>9</v>
      </c>
      <c r="E761" s="3">
        <v>600000</v>
      </c>
      <c r="G761" s="10">
        <f t="shared" si="14"/>
        <v>-955978</v>
      </c>
    </row>
    <row r="762" spans="1:7" x14ac:dyDescent="0.2">
      <c r="A762" s="13">
        <v>44666</v>
      </c>
      <c r="C762" s="2" t="s">
        <v>55</v>
      </c>
      <c r="D762" s="1" t="s">
        <v>9</v>
      </c>
      <c r="E762" s="3">
        <v>769821</v>
      </c>
      <c r="G762" s="10">
        <f t="shared" si="14"/>
        <v>-186157</v>
      </c>
    </row>
    <row r="763" spans="1:7" x14ac:dyDescent="0.2">
      <c r="A763" s="13">
        <v>44666</v>
      </c>
      <c r="C763" s="2" t="s">
        <v>527</v>
      </c>
      <c r="D763" s="1" t="s">
        <v>9</v>
      </c>
      <c r="E763" s="3">
        <v>651274</v>
      </c>
      <c r="G763" s="10">
        <f t="shared" si="14"/>
        <v>465117</v>
      </c>
    </row>
    <row r="764" spans="1:7" x14ac:dyDescent="0.2">
      <c r="A764" s="13">
        <v>44666</v>
      </c>
      <c r="C764" s="2" t="s">
        <v>35</v>
      </c>
      <c r="D764" s="1" t="s">
        <v>9</v>
      </c>
      <c r="F764" s="3">
        <v>6600</v>
      </c>
      <c r="G764" s="10">
        <f t="shared" si="14"/>
        <v>458517</v>
      </c>
    </row>
    <row r="765" spans="1:7" x14ac:dyDescent="0.2">
      <c r="A765" s="13">
        <v>44666</v>
      </c>
      <c r="C765" s="2" t="s">
        <v>53</v>
      </c>
      <c r="D765" s="1" t="s">
        <v>9</v>
      </c>
      <c r="F765" s="3">
        <v>100</v>
      </c>
      <c r="G765" s="10">
        <f t="shared" si="14"/>
        <v>458417</v>
      </c>
    </row>
    <row r="766" spans="1:7" x14ac:dyDescent="0.2">
      <c r="A766" s="13">
        <v>44670</v>
      </c>
      <c r="C766" s="2" t="s">
        <v>528</v>
      </c>
      <c r="D766" s="1" t="s">
        <v>9</v>
      </c>
      <c r="F766" s="3">
        <v>3300</v>
      </c>
      <c r="G766" s="10">
        <f t="shared" si="14"/>
        <v>455117</v>
      </c>
    </row>
    <row r="767" spans="1:7" x14ac:dyDescent="0.2">
      <c r="A767" s="13">
        <v>44670</v>
      </c>
      <c r="C767" s="2" t="s">
        <v>528</v>
      </c>
      <c r="D767" s="1" t="s">
        <v>9</v>
      </c>
      <c r="F767" s="3">
        <v>3300</v>
      </c>
      <c r="G767" s="10">
        <f t="shared" si="14"/>
        <v>451817</v>
      </c>
    </row>
    <row r="768" spans="1:7" x14ac:dyDescent="0.2">
      <c r="A768" s="13">
        <v>44670</v>
      </c>
      <c r="C768" s="2" t="s">
        <v>505</v>
      </c>
      <c r="D768" s="1" t="s">
        <v>9</v>
      </c>
      <c r="E768" s="3">
        <v>248201</v>
      </c>
      <c r="G768" s="10">
        <f t="shared" si="14"/>
        <v>700018</v>
      </c>
    </row>
    <row r="769" spans="1:9" x14ac:dyDescent="0.2">
      <c r="A769" s="13">
        <v>44670</v>
      </c>
      <c r="C769" s="2" t="s">
        <v>61</v>
      </c>
      <c r="D769" s="1" t="s">
        <v>9</v>
      </c>
      <c r="E769" s="3">
        <v>637507</v>
      </c>
      <c r="G769" s="10">
        <f t="shared" si="14"/>
        <v>1337525</v>
      </c>
    </row>
    <row r="770" spans="1:9" x14ac:dyDescent="0.2">
      <c r="A770" s="13">
        <v>44670</v>
      </c>
      <c r="C770" s="2" t="s">
        <v>528</v>
      </c>
      <c r="D770" s="1" t="s">
        <v>9</v>
      </c>
      <c r="F770" s="3">
        <v>3300</v>
      </c>
      <c r="G770" s="10">
        <f t="shared" si="14"/>
        <v>1334225</v>
      </c>
    </row>
    <row r="771" spans="1:9" x14ac:dyDescent="0.2">
      <c r="A771" s="13">
        <v>44671</v>
      </c>
      <c r="C771" s="2" t="s">
        <v>35</v>
      </c>
      <c r="D771" s="1" t="s">
        <v>9</v>
      </c>
      <c r="F771" s="3">
        <v>6600</v>
      </c>
      <c r="G771" s="10">
        <f t="shared" si="14"/>
        <v>1327625</v>
      </c>
    </row>
    <row r="772" spans="1:9" x14ac:dyDescent="0.2">
      <c r="A772" s="13">
        <v>44672</v>
      </c>
      <c r="C772" s="2" t="s">
        <v>116</v>
      </c>
      <c r="D772" s="1" t="s">
        <v>9</v>
      </c>
      <c r="E772" s="3">
        <v>235528</v>
      </c>
      <c r="G772" s="10">
        <f t="shared" si="14"/>
        <v>1563153</v>
      </c>
    </row>
    <row r="773" spans="1:9" x14ac:dyDescent="0.2">
      <c r="A773" s="13">
        <v>44673</v>
      </c>
      <c r="C773" s="2" t="s">
        <v>529</v>
      </c>
      <c r="D773" s="1" t="s">
        <v>9</v>
      </c>
      <c r="F773" s="3">
        <f>236000</f>
        <v>236000</v>
      </c>
      <c r="G773" s="10">
        <f t="shared" si="14"/>
        <v>1327153</v>
      </c>
    </row>
    <row r="774" spans="1:9" x14ac:dyDescent="0.2">
      <c r="A774" s="21">
        <v>44673</v>
      </c>
      <c r="B774" s="22"/>
      <c r="C774" s="23" t="s">
        <v>530</v>
      </c>
      <c r="D774" s="22" t="s">
        <v>9</v>
      </c>
      <c r="E774" s="24">
        <f>43808+265205+418428+282145+196828</f>
        <v>1206414</v>
      </c>
      <c r="F774" s="24"/>
      <c r="G774" s="10">
        <f t="shared" si="14"/>
        <v>2533567</v>
      </c>
    </row>
    <row r="775" spans="1:9" x14ac:dyDescent="0.2">
      <c r="A775" s="13">
        <v>44676</v>
      </c>
      <c r="C775" s="2" t="s">
        <v>27</v>
      </c>
      <c r="D775" s="1" t="s">
        <v>9</v>
      </c>
      <c r="F775" s="3">
        <v>150000</v>
      </c>
      <c r="G775" s="10">
        <f t="shared" ref="G775:G846" si="15">G774+E775-F775</f>
        <v>2383567</v>
      </c>
    </row>
    <row r="776" spans="1:9" x14ac:dyDescent="0.2">
      <c r="A776" s="21">
        <v>44676</v>
      </c>
      <c r="B776" s="22"/>
      <c r="C776" s="23" t="s">
        <v>535</v>
      </c>
      <c r="D776" s="22" t="s">
        <v>9</v>
      </c>
      <c r="E776" s="24">
        <f>245322+296359+333685+1029338</f>
        <v>1904704</v>
      </c>
      <c r="F776" s="24"/>
      <c r="G776" s="10">
        <f t="shared" si="15"/>
        <v>4288271</v>
      </c>
      <c r="I776" s="30"/>
    </row>
    <row r="777" spans="1:9" x14ac:dyDescent="0.2">
      <c r="A777" s="13">
        <v>44678</v>
      </c>
      <c r="C777" s="2" t="s">
        <v>292</v>
      </c>
      <c r="D777" s="1" t="s">
        <v>9</v>
      </c>
      <c r="E777" s="3">
        <v>1728000</v>
      </c>
      <c r="G777" s="25">
        <f t="shared" si="15"/>
        <v>6016271</v>
      </c>
      <c r="I777" s="30"/>
    </row>
    <row r="778" spans="1:9" x14ac:dyDescent="0.2">
      <c r="A778" s="13">
        <v>44680</v>
      </c>
      <c r="C778" s="2" t="s">
        <v>536</v>
      </c>
      <c r="D778" s="1" t="s">
        <v>9</v>
      </c>
      <c r="F778" s="3">
        <v>2473031</v>
      </c>
      <c r="G778" s="10">
        <f t="shared" si="15"/>
        <v>3543240</v>
      </c>
    </row>
    <row r="779" spans="1:9" x14ac:dyDescent="0.2">
      <c r="A779" s="13">
        <v>44680</v>
      </c>
      <c r="C779" s="2" t="s">
        <v>34</v>
      </c>
      <c r="D779" s="1" t="s">
        <v>9</v>
      </c>
      <c r="F779" s="3">
        <v>1100</v>
      </c>
      <c r="G779" s="10">
        <f t="shared" si="15"/>
        <v>3542140</v>
      </c>
    </row>
    <row r="780" spans="1:9" x14ac:dyDescent="0.2">
      <c r="A780" s="13">
        <v>44680</v>
      </c>
      <c r="C780" s="2" t="s">
        <v>35</v>
      </c>
      <c r="D780" s="1" t="s">
        <v>9</v>
      </c>
      <c r="F780" s="3">
        <v>6600</v>
      </c>
      <c r="G780" s="10">
        <f t="shared" si="15"/>
        <v>3535540</v>
      </c>
    </row>
    <row r="781" spans="1:9" x14ac:dyDescent="0.2">
      <c r="A781" s="13">
        <v>44680</v>
      </c>
      <c r="C781" s="2" t="s">
        <v>538</v>
      </c>
      <c r="D781" s="1" t="s">
        <v>9</v>
      </c>
      <c r="F781" s="3">
        <v>45372</v>
      </c>
      <c r="G781" s="10">
        <f t="shared" si="15"/>
        <v>3490168</v>
      </c>
    </row>
    <row r="782" spans="1:9" ht="15.75" x14ac:dyDescent="0.25">
      <c r="A782" s="11" t="s">
        <v>539</v>
      </c>
      <c r="G782" s="10"/>
    </row>
    <row r="783" spans="1:9" x14ac:dyDescent="0.2">
      <c r="A783" s="12" t="s">
        <v>2</v>
      </c>
      <c r="B783" s="5" t="s">
        <v>1</v>
      </c>
      <c r="C783" s="5" t="s">
        <v>3</v>
      </c>
      <c r="D783" s="5"/>
      <c r="E783" s="8" t="s">
        <v>4</v>
      </c>
      <c r="F783" s="8" t="s">
        <v>6</v>
      </c>
      <c r="G783" s="9" t="s">
        <v>5</v>
      </c>
    </row>
    <row r="784" spans="1:9" x14ac:dyDescent="0.2">
      <c r="A784" s="13">
        <v>44686</v>
      </c>
      <c r="C784" s="2" t="s">
        <v>537</v>
      </c>
      <c r="D784" s="1" t="s">
        <v>9</v>
      </c>
      <c r="F784" s="3">
        <f>1988907</f>
        <v>1988907</v>
      </c>
      <c r="G784" s="10">
        <f>G781+E784-F784</f>
        <v>1501261</v>
      </c>
    </row>
    <row r="785" spans="1:7" x14ac:dyDescent="0.2">
      <c r="A785" s="21">
        <v>44686</v>
      </c>
      <c r="B785" s="22" t="s">
        <v>540</v>
      </c>
      <c r="C785" s="23" t="s">
        <v>549</v>
      </c>
      <c r="D785" s="22" t="s">
        <v>9</v>
      </c>
      <c r="E785" s="24"/>
      <c r="F785" s="24">
        <v>165000</v>
      </c>
      <c r="G785" s="10">
        <f>G784+E785-F785</f>
        <v>1336261</v>
      </c>
    </row>
    <row r="786" spans="1:7" x14ac:dyDescent="0.2">
      <c r="A786" s="13">
        <v>44686</v>
      </c>
      <c r="C786" s="2" t="s">
        <v>541</v>
      </c>
      <c r="D786" s="1" t="s">
        <v>9</v>
      </c>
      <c r="F786" s="3">
        <f>6093729+145650</f>
        <v>6239379</v>
      </c>
      <c r="G786" s="10">
        <f>G785+E786-F786</f>
        <v>-4903118</v>
      </c>
    </row>
    <row r="787" spans="1:7" x14ac:dyDescent="0.2">
      <c r="A787" s="13">
        <v>44686</v>
      </c>
      <c r="C787" s="2" t="s">
        <v>542</v>
      </c>
      <c r="D787" s="1" t="s">
        <v>9</v>
      </c>
      <c r="F787" s="3">
        <f>2798850+80580</f>
        <v>2879430</v>
      </c>
      <c r="G787" s="10">
        <f t="shared" ref="G787:G796" si="16">G786+E787-F787</f>
        <v>-7782548</v>
      </c>
    </row>
    <row r="788" spans="1:7" x14ac:dyDescent="0.2">
      <c r="A788" s="13">
        <v>44690</v>
      </c>
      <c r="C788" s="2" t="s">
        <v>137</v>
      </c>
      <c r="D788" s="1" t="s">
        <v>9</v>
      </c>
      <c r="E788" s="3">
        <v>183549</v>
      </c>
      <c r="G788" s="10">
        <f t="shared" si="16"/>
        <v>-7598999</v>
      </c>
    </row>
    <row r="789" spans="1:7" x14ac:dyDescent="0.2">
      <c r="A789" s="13">
        <v>44690</v>
      </c>
      <c r="C789" s="2" t="s">
        <v>18</v>
      </c>
      <c r="D789" s="1" t="s">
        <v>9</v>
      </c>
      <c r="E789" s="3">
        <v>290304</v>
      </c>
      <c r="G789" s="10">
        <f t="shared" si="16"/>
        <v>-7308695</v>
      </c>
    </row>
    <row r="790" spans="1:7" x14ac:dyDescent="0.2">
      <c r="A790" s="13">
        <v>44691</v>
      </c>
      <c r="C790" s="2" t="s">
        <v>531</v>
      </c>
      <c r="D790" s="1" t="s">
        <v>9</v>
      </c>
      <c r="F790" s="3">
        <f>1100000+275</f>
        <v>1100275</v>
      </c>
      <c r="G790" s="10">
        <f t="shared" si="16"/>
        <v>-8408970</v>
      </c>
    </row>
    <row r="791" spans="1:7" x14ac:dyDescent="0.2">
      <c r="A791" s="13">
        <v>44691</v>
      </c>
      <c r="C791" s="2" t="s">
        <v>532</v>
      </c>
      <c r="D791" s="1" t="s">
        <v>9</v>
      </c>
      <c r="F791" s="3">
        <f>401943</f>
        <v>401943</v>
      </c>
      <c r="G791" s="10">
        <f t="shared" si="16"/>
        <v>-8810913</v>
      </c>
    </row>
    <row r="792" spans="1:7" x14ac:dyDescent="0.2">
      <c r="A792" s="13">
        <v>44691</v>
      </c>
      <c r="C792" s="2" t="s">
        <v>533</v>
      </c>
      <c r="D792" s="1" t="s">
        <v>9</v>
      </c>
      <c r="F792" s="3">
        <f>639587+275</f>
        <v>639862</v>
      </c>
      <c r="G792" s="10">
        <f t="shared" si="16"/>
        <v>-9450775</v>
      </c>
    </row>
    <row r="793" spans="1:7" x14ac:dyDescent="0.2">
      <c r="A793" s="13">
        <v>44691</v>
      </c>
      <c r="C793" s="2" t="s">
        <v>365</v>
      </c>
      <c r="D793" s="1" t="s">
        <v>9</v>
      </c>
      <c r="F793" s="3">
        <f>432899+275</f>
        <v>433174</v>
      </c>
      <c r="G793" s="10">
        <f t="shared" si="16"/>
        <v>-9883949</v>
      </c>
    </row>
    <row r="794" spans="1:7" x14ac:dyDescent="0.2">
      <c r="A794" s="13">
        <v>44691</v>
      </c>
      <c r="C794" s="2" t="s">
        <v>534</v>
      </c>
      <c r="D794" s="1" t="s">
        <v>9</v>
      </c>
      <c r="F794" s="3">
        <f>1760027+275</f>
        <v>1760302</v>
      </c>
      <c r="G794" s="10">
        <f t="shared" si="16"/>
        <v>-11644251</v>
      </c>
    </row>
    <row r="795" spans="1:7" x14ac:dyDescent="0.2">
      <c r="A795" s="13">
        <v>44691</v>
      </c>
      <c r="C795" s="23" t="s">
        <v>912</v>
      </c>
      <c r="D795" s="1" t="s">
        <v>9</v>
      </c>
      <c r="E795" s="3">
        <f>153961+10030+68204+26550+70800+24308+600000</f>
        <v>953853</v>
      </c>
      <c r="G795" s="10">
        <f t="shared" si="16"/>
        <v>-10690398</v>
      </c>
    </row>
    <row r="796" spans="1:7" x14ac:dyDescent="0.2">
      <c r="A796" s="13">
        <v>44691</v>
      </c>
      <c r="C796" s="2" t="s">
        <v>543</v>
      </c>
      <c r="D796" s="1" t="s">
        <v>9</v>
      </c>
      <c r="E796" s="3">
        <v>244874</v>
      </c>
      <c r="G796" s="10">
        <f t="shared" si="16"/>
        <v>-10445524</v>
      </c>
    </row>
    <row r="797" spans="1:7" x14ac:dyDescent="0.2">
      <c r="A797" s="13">
        <v>44691</v>
      </c>
      <c r="C797" s="23" t="s">
        <v>544</v>
      </c>
      <c r="D797" s="1" t="s">
        <v>9</v>
      </c>
      <c r="E797" s="3">
        <f>71083+333674+891171</f>
        <v>1295928</v>
      </c>
      <c r="G797" s="10">
        <f t="shared" si="15"/>
        <v>-9149596</v>
      </c>
    </row>
    <row r="798" spans="1:7" x14ac:dyDescent="0.2">
      <c r="A798" s="13">
        <v>44692</v>
      </c>
      <c r="C798" s="23" t="s">
        <v>546</v>
      </c>
      <c r="D798" s="1" t="s">
        <v>9</v>
      </c>
      <c r="E798" s="3">
        <v>760776</v>
      </c>
      <c r="G798" s="10">
        <f t="shared" si="15"/>
        <v>-8388820</v>
      </c>
    </row>
    <row r="799" spans="1:7" x14ac:dyDescent="0.2">
      <c r="A799" s="13">
        <v>44692</v>
      </c>
      <c r="C799" s="23" t="s">
        <v>547</v>
      </c>
      <c r="D799" s="1" t="s">
        <v>9</v>
      </c>
      <c r="E799" s="3">
        <f>1150395+4248+24166+27376+280499</f>
        <v>1486684</v>
      </c>
      <c r="G799" s="10">
        <f t="shared" si="15"/>
        <v>-6902136</v>
      </c>
    </row>
    <row r="800" spans="1:7" x14ac:dyDescent="0.2">
      <c r="A800" s="13">
        <v>44692</v>
      </c>
      <c r="C800" s="2" t="s">
        <v>84</v>
      </c>
      <c r="D800" s="1" t="s">
        <v>9</v>
      </c>
      <c r="F800" s="3">
        <v>185185</v>
      </c>
      <c r="G800" s="10">
        <f t="shared" si="15"/>
        <v>-7087321</v>
      </c>
    </row>
    <row r="801" spans="1:9" x14ac:dyDescent="0.2">
      <c r="A801" s="13">
        <v>44693</v>
      </c>
      <c r="C801" s="2" t="s">
        <v>545</v>
      </c>
      <c r="D801" s="1" t="s">
        <v>9</v>
      </c>
      <c r="E801" s="3">
        <v>118400</v>
      </c>
      <c r="G801" s="10">
        <f t="shared" si="15"/>
        <v>-6968921</v>
      </c>
    </row>
    <row r="802" spans="1:9" x14ac:dyDescent="0.2">
      <c r="A802" s="13">
        <v>44693</v>
      </c>
      <c r="C802" s="2" t="s">
        <v>556</v>
      </c>
      <c r="D802" s="1" t="s">
        <v>9</v>
      </c>
      <c r="F802" s="3">
        <v>74750</v>
      </c>
      <c r="G802" s="10">
        <f t="shared" si="15"/>
        <v>-7043671</v>
      </c>
    </row>
    <row r="803" spans="1:9" x14ac:dyDescent="0.2">
      <c r="A803" s="13">
        <v>44694</v>
      </c>
      <c r="C803" s="23" t="s">
        <v>548</v>
      </c>
      <c r="D803" s="1" t="s">
        <v>9</v>
      </c>
      <c r="E803" s="3">
        <f>240473+30374+10355+143214+2489758+263848+3186861</f>
        <v>6364883</v>
      </c>
      <c r="G803" s="10">
        <f t="shared" si="15"/>
        <v>-678788</v>
      </c>
    </row>
    <row r="804" spans="1:9" x14ac:dyDescent="0.2">
      <c r="A804" s="21">
        <v>44694</v>
      </c>
      <c r="B804" s="22" t="s">
        <v>554</v>
      </c>
      <c r="C804" s="23" t="s">
        <v>154</v>
      </c>
      <c r="D804" s="22" t="s">
        <v>9</v>
      </c>
      <c r="E804" s="24"/>
      <c r="F804" s="24">
        <v>327540</v>
      </c>
      <c r="G804" s="10">
        <f t="shared" si="15"/>
        <v>-1006328</v>
      </c>
    </row>
    <row r="805" spans="1:9" x14ac:dyDescent="0.2">
      <c r="A805" s="13">
        <v>44694</v>
      </c>
      <c r="C805" s="2" t="s">
        <v>35</v>
      </c>
      <c r="D805" s="1" t="s">
        <v>9</v>
      </c>
      <c r="F805" s="3">
        <v>6600</v>
      </c>
      <c r="G805" s="10">
        <f t="shared" si="15"/>
        <v>-1012928</v>
      </c>
    </row>
    <row r="806" spans="1:9" x14ac:dyDescent="0.2">
      <c r="A806" s="13">
        <v>44694</v>
      </c>
      <c r="C806" s="2" t="s">
        <v>15</v>
      </c>
      <c r="D806" s="1" t="s">
        <v>9</v>
      </c>
      <c r="E806" s="3">
        <v>282345</v>
      </c>
      <c r="G806" s="10">
        <f t="shared" si="15"/>
        <v>-730583</v>
      </c>
    </row>
    <row r="807" spans="1:9" x14ac:dyDescent="0.2">
      <c r="A807" s="13">
        <v>44694</v>
      </c>
      <c r="C807" s="2" t="s">
        <v>555</v>
      </c>
      <c r="D807" s="1" t="s">
        <v>9</v>
      </c>
      <c r="E807" s="3">
        <v>1101936</v>
      </c>
      <c r="G807" s="10">
        <f t="shared" si="15"/>
        <v>371353</v>
      </c>
    </row>
    <row r="808" spans="1:9" x14ac:dyDescent="0.2">
      <c r="A808" s="21">
        <v>44697</v>
      </c>
      <c r="B808" s="22" t="s">
        <v>553</v>
      </c>
      <c r="C808" s="23" t="s">
        <v>557</v>
      </c>
      <c r="D808" s="22" t="s">
        <v>9</v>
      </c>
      <c r="E808" s="24"/>
      <c r="F808" s="24">
        <v>285000</v>
      </c>
      <c r="G808" s="10">
        <f t="shared" si="15"/>
        <v>86353</v>
      </c>
    </row>
    <row r="809" spans="1:9" x14ac:dyDescent="0.2">
      <c r="A809" s="13">
        <v>44697</v>
      </c>
      <c r="C809" s="2" t="s">
        <v>137</v>
      </c>
      <c r="D809" s="1" t="s">
        <v>9</v>
      </c>
      <c r="E809" s="3">
        <v>23671</v>
      </c>
      <c r="G809" s="10">
        <f t="shared" si="15"/>
        <v>110024</v>
      </c>
    </row>
    <row r="810" spans="1:9" x14ac:dyDescent="0.2">
      <c r="A810" s="13">
        <v>44697</v>
      </c>
      <c r="C810" s="2" t="s">
        <v>498</v>
      </c>
      <c r="D810" s="1" t="s">
        <v>9</v>
      </c>
      <c r="E810" s="3">
        <v>845529</v>
      </c>
      <c r="G810" s="10">
        <f t="shared" si="15"/>
        <v>955553</v>
      </c>
    </row>
    <row r="811" spans="1:9" x14ac:dyDescent="0.2">
      <c r="A811" s="13">
        <v>44697</v>
      </c>
      <c r="C811" s="2" t="s">
        <v>505</v>
      </c>
      <c r="D811" s="1" t="s">
        <v>9</v>
      </c>
      <c r="E811" s="3">
        <v>123501</v>
      </c>
      <c r="G811" s="10">
        <f t="shared" si="15"/>
        <v>1079054</v>
      </c>
    </row>
    <row r="812" spans="1:9" x14ac:dyDescent="0.2">
      <c r="A812" s="13">
        <v>44698</v>
      </c>
      <c r="C812" s="2" t="s">
        <v>35</v>
      </c>
      <c r="D812" s="1" t="s">
        <v>9</v>
      </c>
      <c r="F812" s="3">
        <v>6600</v>
      </c>
      <c r="G812" s="10">
        <f t="shared" si="15"/>
        <v>1072454</v>
      </c>
    </row>
    <row r="813" spans="1:9" x14ac:dyDescent="0.2">
      <c r="A813" s="13">
        <v>44698</v>
      </c>
      <c r="C813" s="2" t="s">
        <v>35</v>
      </c>
      <c r="D813" s="1" t="s">
        <v>9</v>
      </c>
      <c r="F813" s="3">
        <v>6600</v>
      </c>
      <c r="G813" s="10">
        <f t="shared" si="15"/>
        <v>1065854</v>
      </c>
    </row>
    <row r="814" spans="1:9" x14ac:dyDescent="0.2">
      <c r="A814" s="13">
        <v>44698</v>
      </c>
      <c r="C814" s="2" t="s">
        <v>61</v>
      </c>
      <c r="D814" s="1" t="s">
        <v>9</v>
      </c>
      <c r="E814" s="3">
        <v>2617830</v>
      </c>
      <c r="G814" s="10">
        <f t="shared" si="15"/>
        <v>3683684</v>
      </c>
      <c r="I814" s="30"/>
    </row>
    <row r="815" spans="1:9" x14ac:dyDescent="0.2">
      <c r="A815" s="13">
        <v>44699</v>
      </c>
      <c r="C815" s="23" t="s">
        <v>550</v>
      </c>
      <c r="D815" s="1" t="s">
        <v>9</v>
      </c>
      <c r="E815" s="3">
        <f>107262+1742935+35046+260780</f>
        <v>2146023</v>
      </c>
      <c r="G815" s="25">
        <f t="shared" si="15"/>
        <v>5829707</v>
      </c>
    </row>
    <row r="816" spans="1:9" x14ac:dyDescent="0.2">
      <c r="A816" s="13">
        <v>44701</v>
      </c>
      <c r="C816" s="23" t="s">
        <v>551</v>
      </c>
      <c r="D816" s="1" t="s">
        <v>9</v>
      </c>
      <c r="E816" s="3">
        <f>99852+549550+533986+48474+1367060+1721679</f>
        <v>4320601</v>
      </c>
      <c r="G816" s="10">
        <f t="shared" si="15"/>
        <v>10150308</v>
      </c>
    </row>
    <row r="817" spans="1:7" x14ac:dyDescent="0.2">
      <c r="A817" s="13">
        <v>44701</v>
      </c>
      <c r="C817" s="2" t="s">
        <v>116</v>
      </c>
      <c r="D817" s="1" t="s">
        <v>9</v>
      </c>
      <c r="E817" s="3">
        <v>1639445</v>
      </c>
      <c r="G817" s="10">
        <f t="shared" si="15"/>
        <v>11789753</v>
      </c>
    </row>
    <row r="818" spans="1:7" x14ac:dyDescent="0.2">
      <c r="A818" s="13">
        <v>44705</v>
      </c>
      <c r="C818" s="2" t="s">
        <v>552</v>
      </c>
      <c r="D818" s="1" t="s">
        <v>9</v>
      </c>
      <c r="F818" s="3">
        <f>2365569</f>
        <v>2365569</v>
      </c>
      <c r="G818" s="10">
        <f t="shared" si="15"/>
        <v>9424184</v>
      </c>
    </row>
    <row r="819" spans="1:7" x14ac:dyDescent="0.2">
      <c r="A819" s="21">
        <v>44706</v>
      </c>
      <c r="B819" s="22" t="s">
        <v>560</v>
      </c>
      <c r="C819" s="23" t="s">
        <v>562</v>
      </c>
      <c r="D819" s="22" t="s">
        <v>9</v>
      </c>
      <c r="E819" s="24"/>
      <c r="F819" s="24">
        <v>165000</v>
      </c>
      <c r="G819" s="10">
        <f t="shared" si="15"/>
        <v>9259184</v>
      </c>
    </row>
    <row r="820" spans="1:7" x14ac:dyDescent="0.2">
      <c r="A820" s="13">
        <v>44706</v>
      </c>
      <c r="C820" s="2" t="s">
        <v>27</v>
      </c>
      <c r="D820" s="1" t="s">
        <v>9</v>
      </c>
      <c r="F820" s="3">
        <v>150000</v>
      </c>
      <c r="G820" s="10">
        <f t="shared" si="15"/>
        <v>9109184</v>
      </c>
    </row>
    <row r="821" spans="1:7" x14ac:dyDescent="0.2">
      <c r="A821" s="13">
        <v>44708</v>
      </c>
      <c r="C821" s="23" t="s">
        <v>558</v>
      </c>
      <c r="D821" s="1" t="s">
        <v>9</v>
      </c>
      <c r="E821" s="3">
        <v>341728</v>
      </c>
      <c r="G821" s="10">
        <f t="shared" si="15"/>
        <v>9450912</v>
      </c>
    </row>
    <row r="822" spans="1:7" x14ac:dyDescent="0.2">
      <c r="A822" s="13">
        <v>44708</v>
      </c>
      <c r="C822" s="23" t="s">
        <v>559</v>
      </c>
      <c r="D822" s="1" t="s">
        <v>9</v>
      </c>
      <c r="E822" s="3">
        <f>70431+287625+116471+62939+257825+12744+322500</f>
        <v>1130535</v>
      </c>
      <c r="G822" s="10">
        <f t="shared" si="15"/>
        <v>10581447</v>
      </c>
    </row>
    <row r="823" spans="1:7" x14ac:dyDescent="0.2">
      <c r="A823" s="13">
        <v>44711</v>
      </c>
      <c r="C823" s="2" t="s">
        <v>561</v>
      </c>
      <c r="D823" s="1" t="s">
        <v>9</v>
      </c>
      <c r="F823" s="3">
        <v>3033839</v>
      </c>
      <c r="G823" s="10">
        <f t="shared" si="15"/>
        <v>7547608</v>
      </c>
    </row>
    <row r="824" spans="1:7" x14ac:dyDescent="0.2">
      <c r="A824" s="13">
        <v>44711</v>
      </c>
      <c r="C824" s="2" t="s">
        <v>34</v>
      </c>
      <c r="D824" s="1" t="s">
        <v>9</v>
      </c>
      <c r="F824" s="3">
        <v>1100</v>
      </c>
      <c r="G824" s="10">
        <f t="shared" si="15"/>
        <v>7546508</v>
      </c>
    </row>
    <row r="825" spans="1:7" x14ac:dyDescent="0.2">
      <c r="A825" s="13">
        <v>44711</v>
      </c>
      <c r="C825" s="2" t="s">
        <v>498</v>
      </c>
      <c r="D825" s="1" t="s">
        <v>9</v>
      </c>
      <c r="E825" s="3">
        <v>395182</v>
      </c>
      <c r="G825" s="10">
        <f t="shared" si="15"/>
        <v>7941690</v>
      </c>
    </row>
    <row r="826" spans="1:7" x14ac:dyDescent="0.2">
      <c r="A826" s="13">
        <v>44712</v>
      </c>
      <c r="C826" s="2" t="s">
        <v>563</v>
      </c>
      <c r="D826" s="1" t="s">
        <v>9</v>
      </c>
      <c r="F826" s="3">
        <v>73956</v>
      </c>
      <c r="G826" s="10">
        <f t="shared" si="15"/>
        <v>7867734</v>
      </c>
    </row>
    <row r="827" spans="1:7" ht="15.75" x14ac:dyDescent="0.25">
      <c r="A827" s="11" t="s">
        <v>573</v>
      </c>
      <c r="G827" s="10"/>
    </row>
    <row r="828" spans="1:7" x14ac:dyDescent="0.2">
      <c r="A828" s="12" t="s">
        <v>2</v>
      </c>
      <c r="B828" s="5" t="s">
        <v>1</v>
      </c>
      <c r="C828" s="5" t="s">
        <v>3</v>
      </c>
      <c r="D828" s="5"/>
      <c r="E828" s="8" t="s">
        <v>4</v>
      </c>
      <c r="F828" s="8" t="s">
        <v>6</v>
      </c>
      <c r="G828" s="9" t="s">
        <v>5</v>
      </c>
    </row>
    <row r="829" spans="1:7" x14ac:dyDescent="0.2">
      <c r="A829" s="13">
        <v>44713</v>
      </c>
      <c r="C829" s="2" t="s">
        <v>296</v>
      </c>
      <c r="D829" s="1" t="s">
        <v>9</v>
      </c>
      <c r="E829" s="3">
        <v>1000000</v>
      </c>
      <c r="G829" s="10">
        <f>G826+E829-F829</f>
        <v>8867734</v>
      </c>
    </row>
    <row r="830" spans="1:7" x14ac:dyDescent="0.2">
      <c r="A830" s="13">
        <v>44713</v>
      </c>
      <c r="C830" s="2" t="s">
        <v>84</v>
      </c>
      <c r="D830" s="1" t="s">
        <v>9</v>
      </c>
      <c r="F830" s="3">
        <v>185185</v>
      </c>
      <c r="G830" s="10">
        <f t="shared" si="15"/>
        <v>8682549</v>
      </c>
    </row>
    <row r="831" spans="1:7" x14ac:dyDescent="0.2">
      <c r="A831" s="13">
        <v>44713</v>
      </c>
      <c r="C831" s="2" t="s">
        <v>137</v>
      </c>
      <c r="D831" s="1" t="s">
        <v>9</v>
      </c>
      <c r="E831" s="3">
        <v>161660</v>
      </c>
      <c r="G831" s="10">
        <f t="shared" si="15"/>
        <v>8844209</v>
      </c>
    </row>
    <row r="832" spans="1:7" x14ac:dyDescent="0.2">
      <c r="A832" s="13">
        <v>44713</v>
      </c>
      <c r="C832" s="2" t="s">
        <v>53</v>
      </c>
      <c r="D832" s="1" t="s">
        <v>9</v>
      </c>
      <c r="F832" s="3">
        <v>100</v>
      </c>
      <c r="G832" s="10">
        <f t="shared" si="15"/>
        <v>8844109</v>
      </c>
    </row>
    <row r="833" spans="1:7" x14ac:dyDescent="0.2">
      <c r="A833" s="13">
        <v>44713</v>
      </c>
      <c r="C833" s="23" t="s">
        <v>123</v>
      </c>
      <c r="D833" s="1" t="s">
        <v>9</v>
      </c>
      <c r="E833" s="3">
        <v>500000</v>
      </c>
      <c r="G833" s="10">
        <f t="shared" si="15"/>
        <v>9344109</v>
      </c>
    </row>
    <row r="834" spans="1:7" x14ac:dyDescent="0.2">
      <c r="A834" s="13">
        <v>44713</v>
      </c>
      <c r="C834" s="23" t="s">
        <v>572</v>
      </c>
      <c r="D834" s="1" t="s">
        <v>9</v>
      </c>
      <c r="E834" s="3">
        <f>263229+1126534+6678375</f>
        <v>8068138</v>
      </c>
      <c r="G834" s="10">
        <f t="shared" si="15"/>
        <v>17412247</v>
      </c>
    </row>
    <row r="835" spans="1:7" x14ac:dyDescent="0.2">
      <c r="A835" s="13">
        <v>44714</v>
      </c>
      <c r="B835" s="1" t="s">
        <v>574</v>
      </c>
      <c r="C835" s="2" t="s">
        <v>575</v>
      </c>
      <c r="D835" s="1" t="s">
        <v>9</v>
      </c>
      <c r="F835" s="3">
        <v>230000</v>
      </c>
      <c r="G835" s="10">
        <f t="shared" si="15"/>
        <v>17182247</v>
      </c>
    </row>
    <row r="836" spans="1:7" x14ac:dyDescent="0.2">
      <c r="A836" s="13">
        <v>44715</v>
      </c>
      <c r="C836" s="2" t="s">
        <v>571</v>
      </c>
      <c r="D836" s="1" t="s">
        <v>9</v>
      </c>
      <c r="F836" s="3">
        <f>4280319</f>
        <v>4280319</v>
      </c>
      <c r="G836" s="10">
        <f t="shared" si="15"/>
        <v>12901928</v>
      </c>
    </row>
    <row r="837" spans="1:7" x14ac:dyDescent="0.2">
      <c r="A837" s="13">
        <v>44715</v>
      </c>
      <c r="C837" s="2" t="s">
        <v>137</v>
      </c>
      <c r="D837" s="1" t="s">
        <v>9</v>
      </c>
      <c r="E837" s="3">
        <v>116774</v>
      </c>
      <c r="G837" s="10">
        <f t="shared" si="15"/>
        <v>13018702</v>
      </c>
    </row>
    <row r="838" spans="1:7" x14ac:dyDescent="0.2">
      <c r="A838" s="13">
        <v>44719</v>
      </c>
      <c r="C838" s="2" t="s">
        <v>505</v>
      </c>
      <c r="D838" s="1" t="s">
        <v>9</v>
      </c>
      <c r="E838" s="3">
        <v>104890</v>
      </c>
      <c r="G838" s="10">
        <f t="shared" si="15"/>
        <v>13123592</v>
      </c>
    </row>
    <row r="839" spans="1:7" x14ac:dyDescent="0.2">
      <c r="A839" s="13">
        <v>44719</v>
      </c>
      <c r="C839" s="2" t="s">
        <v>351</v>
      </c>
      <c r="D839" s="1" t="s">
        <v>9</v>
      </c>
      <c r="E839" s="3">
        <v>61319</v>
      </c>
      <c r="G839" s="10">
        <f t="shared" si="15"/>
        <v>13184911</v>
      </c>
    </row>
    <row r="840" spans="1:7" x14ac:dyDescent="0.2">
      <c r="A840" s="13">
        <v>44720</v>
      </c>
      <c r="C840" s="2" t="s">
        <v>377</v>
      </c>
      <c r="D840" s="1" t="s">
        <v>9</v>
      </c>
      <c r="E840" s="3">
        <v>600000</v>
      </c>
      <c r="G840" s="10">
        <f t="shared" si="15"/>
        <v>13784911</v>
      </c>
    </row>
    <row r="841" spans="1:7" x14ac:dyDescent="0.2">
      <c r="A841" s="13">
        <v>44720</v>
      </c>
      <c r="C841" s="2" t="s">
        <v>53</v>
      </c>
      <c r="D841" s="1" t="s">
        <v>9</v>
      </c>
      <c r="F841" s="3">
        <v>100</v>
      </c>
      <c r="G841" s="10">
        <f t="shared" si="15"/>
        <v>13784811</v>
      </c>
    </row>
    <row r="842" spans="1:7" x14ac:dyDescent="0.2">
      <c r="A842" s="13">
        <v>44720</v>
      </c>
      <c r="C842" s="23" t="s">
        <v>576</v>
      </c>
      <c r="D842" s="1" t="s">
        <v>9</v>
      </c>
      <c r="E842" s="3">
        <f>145612+263500+97647+203904+88972</f>
        <v>799635</v>
      </c>
      <c r="G842" s="10">
        <f t="shared" si="15"/>
        <v>14584446</v>
      </c>
    </row>
    <row r="843" spans="1:7" x14ac:dyDescent="0.2">
      <c r="A843" s="13">
        <v>44722</v>
      </c>
      <c r="C843" s="2" t="s">
        <v>564</v>
      </c>
      <c r="D843" s="1" t="s">
        <v>9</v>
      </c>
      <c r="F843" s="3">
        <f>137464+275</f>
        <v>137739</v>
      </c>
      <c r="G843" s="10">
        <f t="shared" si="15"/>
        <v>14446707</v>
      </c>
    </row>
    <row r="844" spans="1:7" x14ac:dyDescent="0.2">
      <c r="A844" s="13">
        <v>44722</v>
      </c>
      <c r="C844" s="2" t="s">
        <v>565</v>
      </c>
      <c r="D844" s="1" t="s">
        <v>9</v>
      </c>
      <c r="F844" s="3">
        <f>236000</f>
        <v>236000</v>
      </c>
      <c r="G844" s="10">
        <f t="shared" si="15"/>
        <v>14210707</v>
      </c>
    </row>
    <row r="845" spans="1:7" x14ac:dyDescent="0.2">
      <c r="A845" s="13">
        <v>44722</v>
      </c>
      <c r="C845" s="2" t="s">
        <v>581</v>
      </c>
      <c r="D845" s="1" t="s">
        <v>9</v>
      </c>
      <c r="F845" s="3">
        <f>935000+275</f>
        <v>935275</v>
      </c>
      <c r="G845" s="10">
        <f t="shared" si="15"/>
        <v>13275432</v>
      </c>
    </row>
    <row r="846" spans="1:7" x14ac:dyDescent="0.2">
      <c r="A846" s="13">
        <v>44722</v>
      </c>
      <c r="C846" s="2" t="s">
        <v>566</v>
      </c>
      <c r="D846" s="1" t="s">
        <v>9</v>
      </c>
      <c r="F846" s="3">
        <f>589095+275</f>
        <v>589370</v>
      </c>
      <c r="G846" s="10">
        <f t="shared" si="15"/>
        <v>12686062</v>
      </c>
    </row>
    <row r="847" spans="1:7" x14ac:dyDescent="0.2">
      <c r="A847" s="13">
        <v>44722</v>
      </c>
      <c r="C847" s="2" t="s">
        <v>567</v>
      </c>
      <c r="D847" s="1" t="s">
        <v>9</v>
      </c>
      <c r="F847" s="3">
        <f>500000+275</f>
        <v>500275</v>
      </c>
      <c r="G847" s="10">
        <f t="shared" ref="G847:G923" si="17">G846+E847-F847</f>
        <v>12185787</v>
      </c>
    </row>
    <row r="848" spans="1:7" x14ac:dyDescent="0.2">
      <c r="A848" s="13">
        <v>44722</v>
      </c>
      <c r="C848" s="2" t="s">
        <v>568</v>
      </c>
      <c r="D848" s="1" t="s">
        <v>9</v>
      </c>
      <c r="F848" s="3">
        <f>385703</f>
        <v>385703</v>
      </c>
      <c r="G848" s="10">
        <f t="shared" si="17"/>
        <v>11800084</v>
      </c>
    </row>
    <row r="849" spans="1:7" x14ac:dyDescent="0.2">
      <c r="A849" s="13">
        <v>44722</v>
      </c>
      <c r="C849" s="2" t="s">
        <v>569</v>
      </c>
      <c r="D849" s="1" t="s">
        <v>9</v>
      </c>
      <c r="F849" s="3">
        <f>551635</f>
        <v>551635</v>
      </c>
      <c r="G849" s="10">
        <f t="shared" si="17"/>
        <v>11248449</v>
      </c>
    </row>
    <row r="850" spans="1:7" x14ac:dyDescent="0.2">
      <c r="A850" s="13">
        <v>44722</v>
      </c>
      <c r="C850" s="2" t="s">
        <v>570</v>
      </c>
      <c r="D850" s="1" t="s">
        <v>9</v>
      </c>
      <c r="F850" s="3">
        <f>167899+275</f>
        <v>168174</v>
      </c>
      <c r="G850" s="10">
        <f t="shared" si="17"/>
        <v>11080275</v>
      </c>
    </row>
    <row r="851" spans="1:7" x14ac:dyDescent="0.2">
      <c r="A851" s="13">
        <v>44722</v>
      </c>
      <c r="C851" s="23" t="s">
        <v>579</v>
      </c>
      <c r="D851" s="1" t="s">
        <v>9</v>
      </c>
      <c r="E851" s="3">
        <f>832188+193530+38350+362133+233571+34515+118041</f>
        <v>1812328</v>
      </c>
      <c r="G851" s="10">
        <f t="shared" si="17"/>
        <v>12892603</v>
      </c>
    </row>
    <row r="852" spans="1:7" x14ac:dyDescent="0.2">
      <c r="A852" s="13">
        <v>44722</v>
      </c>
      <c r="C852" s="2" t="s">
        <v>440</v>
      </c>
      <c r="D852" s="1" t="s">
        <v>9</v>
      </c>
      <c r="E852" s="3">
        <v>186293</v>
      </c>
      <c r="G852" s="10">
        <f t="shared" si="17"/>
        <v>13078896</v>
      </c>
    </row>
    <row r="853" spans="1:7" x14ac:dyDescent="0.2">
      <c r="A853" s="13">
        <v>44725</v>
      </c>
      <c r="C853" s="2" t="s">
        <v>578</v>
      </c>
      <c r="D853" s="1" t="s">
        <v>9</v>
      </c>
      <c r="F853" s="3">
        <f>5231962</f>
        <v>5231962</v>
      </c>
      <c r="G853" s="10">
        <f t="shared" si="17"/>
        <v>7846934</v>
      </c>
    </row>
    <row r="854" spans="1:7" x14ac:dyDescent="0.2">
      <c r="A854" s="21">
        <v>44725</v>
      </c>
      <c r="B854" s="22"/>
      <c r="C854" s="23" t="s">
        <v>587</v>
      </c>
      <c r="D854" s="22" t="s">
        <v>9</v>
      </c>
      <c r="E854" s="24"/>
      <c r="F854" s="24">
        <v>97647</v>
      </c>
      <c r="G854" s="10">
        <f t="shared" si="17"/>
        <v>7749287</v>
      </c>
    </row>
    <row r="855" spans="1:7" x14ac:dyDescent="0.2">
      <c r="A855" s="13">
        <v>44725</v>
      </c>
      <c r="C855" s="2" t="s">
        <v>588</v>
      </c>
      <c r="D855" s="1" t="s">
        <v>9</v>
      </c>
      <c r="F855" s="3">
        <v>6600</v>
      </c>
      <c r="G855" s="10">
        <f t="shared" si="17"/>
        <v>7742687</v>
      </c>
    </row>
    <row r="856" spans="1:7" x14ac:dyDescent="0.2">
      <c r="A856" s="13">
        <v>44726</v>
      </c>
      <c r="C856" s="2" t="s">
        <v>35</v>
      </c>
      <c r="D856" s="1" t="s">
        <v>9</v>
      </c>
      <c r="F856" s="3">
        <v>6600</v>
      </c>
      <c r="G856" s="10">
        <f t="shared" si="17"/>
        <v>7736087</v>
      </c>
    </row>
    <row r="857" spans="1:7" x14ac:dyDescent="0.2">
      <c r="A857" s="13">
        <v>44726</v>
      </c>
      <c r="C857" s="2" t="s">
        <v>586</v>
      </c>
      <c r="D857" s="1" t="s">
        <v>9</v>
      </c>
      <c r="F857" s="3">
        <v>1000000</v>
      </c>
      <c r="G857" s="10">
        <f t="shared" si="17"/>
        <v>6736087</v>
      </c>
    </row>
    <row r="858" spans="1:7" x14ac:dyDescent="0.2">
      <c r="A858" s="13">
        <v>44727</v>
      </c>
      <c r="C858" s="2" t="s">
        <v>377</v>
      </c>
      <c r="D858" s="1" t="s">
        <v>9</v>
      </c>
      <c r="E858" s="3">
        <v>1000000</v>
      </c>
      <c r="G858" s="10">
        <f t="shared" si="17"/>
        <v>7736087</v>
      </c>
    </row>
    <row r="859" spans="1:7" x14ac:dyDescent="0.2">
      <c r="A859" s="13">
        <v>44727</v>
      </c>
      <c r="C859" s="2" t="s">
        <v>528</v>
      </c>
      <c r="D859" s="1" t="s">
        <v>9</v>
      </c>
      <c r="F859" s="3">
        <v>3300</v>
      </c>
      <c r="G859" s="10">
        <f t="shared" si="17"/>
        <v>7732787</v>
      </c>
    </row>
    <row r="860" spans="1:7" x14ac:dyDescent="0.2">
      <c r="A860" s="13">
        <v>44727</v>
      </c>
      <c r="C860" s="2" t="s">
        <v>53</v>
      </c>
      <c r="D860" s="1" t="s">
        <v>9</v>
      </c>
      <c r="F860" s="3">
        <v>100</v>
      </c>
      <c r="G860" s="10">
        <f t="shared" si="17"/>
        <v>7732687</v>
      </c>
    </row>
    <row r="861" spans="1:7" x14ac:dyDescent="0.2">
      <c r="A861" s="13">
        <v>44727</v>
      </c>
      <c r="C861" s="2" t="s">
        <v>21</v>
      </c>
      <c r="D861" s="1" t="s">
        <v>9</v>
      </c>
      <c r="E861" s="3">
        <v>1417509</v>
      </c>
      <c r="G861" s="10">
        <f t="shared" si="17"/>
        <v>9150196</v>
      </c>
    </row>
    <row r="862" spans="1:7" x14ac:dyDescent="0.2">
      <c r="A862" s="13">
        <v>44727</v>
      </c>
      <c r="C862" s="23" t="s">
        <v>589</v>
      </c>
      <c r="D862" s="1" t="s">
        <v>9</v>
      </c>
      <c r="E862" s="3">
        <f>40000+203816+858450</f>
        <v>1102266</v>
      </c>
      <c r="G862" s="10">
        <f t="shared" si="17"/>
        <v>10252462</v>
      </c>
    </row>
    <row r="863" spans="1:7" x14ac:dyDescent="0.2">
      <c r="A863" s="13">
        <v>44732</v>
      </c>
      <c r="C863" s="2" t="s">
        <v>555</v>
      </c>
      <c r="D863" s="1" t="s">
        <v>9</v>
      </c>
      <c r="E863" s="3">
        <v>230772</v>
      </c>
      <c r="G863" s="10">
        <f t="shared" si="17"/>
        <v>10483234</v>
      </c>
    </row>
    <row r="864" spans="1:7" ht="12" customHeight="1" x14ac:dyDescent="0.2">
      <c r="A864" s="13">
        <v>44734</v>
      </c>
      <c r="B864" s="1" t="s">
        <v>580</v>
      </c>
      <c r="C864" s="23" t="s">
        <v>585</v>
      </c>
      <c r="D864" s="1" t="s">
        <v>9</v>
      </c>
      <c r="F864" s="3">
        <v>165000</v>
      </c>
      <c r="G864" s="10">
        <f t="shared" si="17"/>
        <v>10318234</v>
      </c>
    </row>
    <row r="865" spans="1:7" x14ac:dyDescent="0.2">
      <c r="A865" s="13">
        <v>44734</v>
      </c>
      <c r="B865" s="1" t="s">
        <v>582</v>
      </c>
      <c r="C865" s="2" t="s">
        <v>218</v>
      </c>
      <c r="D865" s="1" t="s">
        <v>9</v>
      </c>
      <c r="F865" s="3">
        <v>90000</v>
      </c>
      <c r="G865" s="10">
        <f t="shared" si="17"/>
        <v>10228234</v>
      </c>
    </row>
    <row r="866" spans="1:7" x14ac:dyDescent="0.2">
      <c r="A866" s="13">
        <v>44734</v>
      </c>
      <c r="B866" s="1" t="s">
        <v>583</v>
      </c>
      <c r="C866" s="2" t="s">
        <v>584</v>
      </c>
      <c r="D866" s="1" t="s">
        <v>9</v>
      </c>
      <c r="F866" s="3">
        <v>240000</v>
      </c>
      <c r="G866" s="10">
        <f t="shared" si="17"/>
        <v>9988234</v>
      </c>
    </row>
    <row r="867" spans="1:7" x14ac:dyDescent="0.2">
      <c r="A867" s="13">
        <v>44734</v>
      </c>
      <c r="C867" s="2" t="s">
        <v>590</v>
      </c>
      <c r="D867" s="1" t="s">
        <v>9</v>
      </c>
      <c r="E867" s="3">
        <f>24674+148445+43570+240101+77000+2000000+3613+107793</f>
        <v>2645196</v>
      </c>
      <c r="G867" s="10">
        <f t="shared" si="17"/>
        <v>12633430</v>
      </c>
    </row>
    <row r="868" spans="1:7" x14ac:dyDescent="0.2">
      <c r="A868" s="13">
        <v>44734</v>
      </c>
      <c r="C868" s="23" t="s">
        <v>591</v>
      </c>
      <c r="D868" s="1" t="s">
        <v>9</v>
      </c>
      <c r="E868" s="3">
        <f>202886+667561+123362+10031</f>
        <v>1003840</v>
      </c>
      <c r="G868" s="10">
        <f t="shared" si="17"/>
        <v>13637270</v>
      </c>
    </row>
    <row r="869" spans="1:7" x14ac:dyDescent="0.2">
      <c r="A869" s="13">
        <v>44736</v>
      </c>
      <c r="C869" s="2" t="s">
        <v>144</v>
      </c>
      <c r="D869" s="1" t="s">
        <v>9</v>
      </c>
      <c r="E869" s="3">
        <v>120360</v>
      </c>
      <c r="G869" s="10">
        <f t="shared" si="17"/>
        <v>13757630</v>
      </c>
    </row>
    <row r="870" spans="1:7" x14ac:dyDescent="0.2">
      <c r="A870" s="13">
        <v>44739</v>
      </c>
      <c r="C870" s="2" t="s">
        <v>27</v>
      </c>
      <c r="D870" s="1" t="s">
        <v>9</v>
      </c>
      <c r="F870" s="3">
        <v>150000</v>
      </c>
      <c r="G870" s="10">
        <f t="shared" si="17"/>
        <v>13607630</v>
      </c>
    </row>
    <row r="871" spans="1:7" x14ac:dyDescent="0.2">
      <c r="A871" s="13">
        <v>44739</v>
      </c>
      <c r="C871" s="23" t="s">
        <v>592</v>
      </c>
      <c r="D871" s="1" t="s">
        <v>9</v>
      </c>
      <c r="E871" s="3">
        <f>117351+20060+520047+43070+54091+500000+985200+605104</f>
        <v>2844923</v>
      </c>
      <c r="G871" s="10">
        <f t="shared" si="17"/>
        <v>16452553</v>
      </c>
    </row>
    <row r="872" spans="1:7" x14ac:dyDescent="0.2">
      <c r="A872" s="13">
        <v>44740</v>
      </c>
      <c r="C872" s="2" t="s">
        <v>35</v>
      </c>
      <c r="D872" s="1" t="s">
        <v>9</v>
      </c>
      <c r="F872" s="3">
        <v>6600</v>
      </c>
      <c r="G872" s="10">
        <f t="shared" si="17"/>
        <v>16445953</v>
      </c>
    </row>
    <row r="873" spans="1:7" x14ac:dyDescent="0.2">
      <c r="A873" s="13">
        <v>44741</v>
      </c>
      <c r="C873" s="2" t="s">
        <v>35</v>
      </c>
      <c r="D873" s="1" t="s">
        <v>9</v>
      </c>
      <c r="F873" s="3">
        <v>6600</v>
      </c>
      <c r="G873" s="10">
        <f t="shared" si="17"/>
        <v>16439353</v>
      </c>
    </row>
    <row r="874" spans="1:7" x14ac:dyDescent="0.2">
      <c r="A874" s="13">
        <v>44742</v>
      </c>
      <c r="C874" s="23" t="s">
        <v>593</v>
      </c>
      <c r="D874" s="1" t="s">
        <v>9</v>
      </c>
      <c r="E874" s="3">
        <f>284510+133812+25488+18160+152574+2433601+245100</f>
        <v>3293245</v>
      </c>
      <c r="G874" s="10">
        <f t="shared" si="17"/>
        <v>19732598</v>
      </c>
    </row>
    <row r="875" spans="1:7" x14ac:dyDescent="0.2">
      <c r="A875" s="13">
        <v>44742</v>
      </c>
      <c r="C875" s="2" t="s">
        <v>595</v>
      </c>
      <c r="D875" s="1" t="s">
        <v>9</v>
      </c>
      <c r="F875" s="3">
        <v>33968</v>
      </c>
      <c r="G875" s="10">
        <f t="shared" si="17"/>
        <v>19698630</v>
      </c>
    </row>
    <row r="876" spans="1:7" x14ac:dyDescent="0.2">
      <c r="A876" s="13">
        <v>44742</v>
      </c>
      <c r="C876" s="23" t="s">
        <v>577</v>
      </c>
      <c r="D876" s="1" t="s">
        <v>9</v>
      </c>
      <c r="F876" s="3">
        <f>6019599+144187</f>
        <v>6163786</v>
      </c>
      <c r="G876" s="10">
        <f t="shared" si="17"/>
        <v>13534844</v>
      </c>
    </row>
    <row r="877" spans="1:7" ht="15.75" x14ac:dyDescent="0.25">
      <c r="A877" s="11" t="s">
        <v>596</v>
      </c>
      <c r="G877" s="10"/>
    </row>
    <row r="878" spans="1:7" x14ac:dyDescent="0.2">
      <c r="A878" s="13">
        <v>44743</v>
      </c>
      <c r="C878" s="2" t="s">
        <v>594</v>
      </c>
      <c r="D878" s="1" t="s">
        <v>9</v>
      </c>
      <c r="F878" s="3">
        <v>2954749</v>
      </c>
      <c r="G878" s="10">
        <f>G876+E878-F878</f>
        <v>10580095</v>
      </c>
    </row>
    <row r="879" spans="1:7" x14ac:dyDescent="0.2">
      <c r="A879" s="13">
        <v>44743</v>
      </c>
      <c r="C879" s="2" t="s">
        <v>34</v>
      </c>
      <c r="D879" s="1" t="s">
        <v>9</v>
      </c>
      <c r="F879" s="3">
        <v>1100</v>
      </c>
      <c r="G879" s="10">
        <f t="shared" si="17"/>
        <v>10578995</v>
      </c>
    </row>
    <row r="880" spans="1:7" x14ac:dyDescent="0.2">
      <c r="A880" s="13">
        <v>44743</v>
      </c>
      <c r="C880" s="23" t="s">
        <v>597</v>
      </c>
      <c r="D880" s="1" t="s">
        <v>9</v>
      </c>
      <c r="E880" s="3">
        <f>136998+336105+295283+1441807+371046+21533</f>
        <v>2602772</v>
      </c>
      <c r="G880" s="10">
        <f t="shared" si="17"/>
        <v>13181767</v>
      </c>
    </row>
    <row r="881" spans="1:7" x14ac:dyDescent="0.2">
      <c r="A881" s="13">
        <v>44743</v>
      </c>
      <c r="C881" s="2" t="s">
        <v>137</v>
      </c>
      <c r="D881" s="1" t="s">
        <v>9</v>
      </c>
      <c r="E881" s="3">
        <v>65195</v>
      </c>
      <c r="G881" s="10">
        <f t="shared" si="17"/>
        <v>13246962</v>
      </c>
    </row>
    <row r="882" spans="1:7" x14ac:dyDescent="0.2">
      <c r="A882" s="13">
        <v>44747</v>
      </c>
      <c r="C882" s="2" t="s">
        <v>61</v>
      </c>
      <c r="D882" s="1" t="s">
        <v>9</v>
      </c>
      <c r="E882" s="3">
        <v>937003</v>
      </c>
      <c r="G882" s="10">
        <f t="shared" si="17"/>
        <v>14183965</v>
      </c>
    </row>
    <row r="883" spans="1:7" x14ac:dyDescent="0.2">
      <c r="A883" s="13">
        <v>44748</v>
      </c>
      <c r="C883" s="2" t="s">
        <v>598</v>
      </c>
      <c r="D883" s="1" t="s">
        <v>9</v>
      </c>
      <c r="F883" s="3">
        <f>4407130</f>
        <v>4407130</v>
      </c>
      <c r="G883" s="10">
        <f t="shared" si="17"/>
        <v>9776835</v>
      </c>
    </row>
    <row r="884" spans="1:7" x14ac:dyDescent="0.2">
      <c r="A884" s="13">
        <v>44748</v>
      </c>
      <c r="C884" s="2" t="s">
        <v>377</v>
      </c>
      <c r="D884" s="1" t="s">
        <v>9</v>
      </c>
      <c r="E884" s="3">
        <v>1000000</v>
      </c>
      <c r="G884" s="10">
        <f t="shared" si="17"/>
        <v>10776835</v>
      </c>
    </row>
    <row r="885" spans="1:7" x14ac:dyDescent="0.2">
      <c r="A885" s="13">
        <v>44748</v>
      </c>
      <c r="C885" s="2" t="s">
        <v>604</v>
      </c>
      <c r="D885" s="1" t="s">
        <v>9</v>
      </c>
      <c r="F885" s="3">
        <f>2851773+81624</f>
        <v>2933397</v>
      </c>
      <c r="G885" s="10">
        <f t="shared" si="17"/>
        <v>7843438</v>
      </c>
    </row>
    <row r="886" spans="1:7" x14ac:dyDescent="0.2">
      <c r="A886" s="13">
        <v>44748</v>
      </c>
      <c r="C886" s="2" t="s">
        <v>53</v>
      </c>
      <c r="D886" s="1" t="s">
        <v>9</v>
      </c>
      <c r="F886" s="3">
        <v>100</v>
      </c>
      <c r="G886" s="10">
        <f t="shared" si="17"/>
        <v>7843338</v>
      </c>
    </row>
    <row r="887" spans="1:7" x14ac:dyDescent="0.2">
      <c r="A887" s="13">
        <v>44748</v>
      </c>
      <c r="C887" s="23" t="s">
        <v>606</v>
      </c>
      <c r="D887" s="1" t="s">
        <v>9</v>
      </c>
      <c r="E887" s="3">
        <f>1372377+91681+199656</f>
        <v>1663714</v>
      </c>
      <c r="G887" s="10">
        <f t="shared" si="17"/>
        <v>9507052</v>
      </c>
    </row>
    <row r="888" spans="1:7" x14ac:dyDescent="0.2">
      <c r="A888" s="13">
        <v>44748</v>
      </c>
      <c r="C888" s="2" t="s">
        <v>605</v>
      </c>
      <c r="D888" s="1" t="s">
        <v>9</v>
      </c>
      <c r="F888" s="3">
        <f>4070823+105699</f>
        <v>4176522</v>
      </c>
      <c r="G888" s="10">
        <f t="shared" si="17"/>
        <v>5330530</v>
      </c>
    </row>
    <row r="889" spans="1:7" x14ac:dyDescent="0.2">
      <c r="A889" s="13">
        <v>44750</v>
      </c>
      <c r="C889" s="2" t="s">
        <v>607</v>
      </c>
      <c r="D889" s="1" t="s">
        <v>9</v>
      </c>
      <c r="E889" s="3">
        <v>744090</v>
      </c>
      <c r="G889" s="10">
        <f t="shared" si="17"/>
        <v>6074620</v>
      </c>
    </row>
    <row r="890" spans="1:7" x14ac:dyDescent="0.2">
      <c r="A890" s="13">
        <v>44754</v>
      </c>
      <c r="C890" s="2" t="s">
        <v>599</v>
      </c>
      <c r="D890" s="1" t="s">
        <v>9</v>
      </c>
      <c r="F890" s="3">
        <f>335000+275</f>
        <v>335275</v>
      </c>
      <c r="G890" s="10">
        <f t="shared" si="17"/>
        <v>5739345</v>
      </c>
    </row>
    <row r="891" spans="1:7" x14ac:dyDescent="0.2">
      <c r="A891" s="13">
        <v>44754</v>
      </c>
      <c r="C891" s="2" t="s">
        <v>600</v>
      </c>
      <c r="D891" s="1" t="s">
        <v>9</v>
      </c>
      <c r="F891" s="3">
        <f>593222+275</f>
        <v>593497</v>
      </c>
      <c r="G891" s="10">
        <f t="shared" si="17"/>
        <v>5145848</v>
      </c>
    </row>
    <row r="892" spans="1:7" x14ac:dyDescent="0.2">
      <c r="A892" s="13">
        <v>44754</v>
      </c>
      <c r="C892" s="2" t="s">
        <v>601</v>
      </c>
      <c r="D892" s="1" t="s">
        <v>9</v>
      </c>
      <c r="F892" s="3">
        <f>694789</f>
        <v>694789</v>
      </c>
      <c r="G892" s="10">
        <f t="shared" si="17"/>
        <v>4451059</v>
      </c>
    </row>
    <row r="893" spans="1:7" x14ac:dyDescent="0.2">
      <c r="A893" s="13">
        <v>44754</v>
      </c>
      <c r="C893" s="2" t="s">
        <v>602</v>
      </c>
      <c r="D893" s="1" t="s">
        <v>9</v>
      </c>
      <c r="F893" s="3">
        <f>58275+275</f>
        <v>58550</v>
      </c>
      <c r="G893" s="10">
        <f t="shared" si="17"/>
        <v>4392509</v>
      </c>
    </row>
    <row r="894" spans="1:7" x14ac:dyDescent="0.2">
      <c r="A894" s="13">
        <v>44754</v>
      </c>
      <c r="C894" s="2" t="s">
        <v>603</v>
      </c>
      <c r="D894" s="1" t="s">
        <v>9</v>
      </c>
      <c r="F894" s="3">
        <f>137464+275</f>
        <v>137739</v>
      </c>
      <c r="G894" s="10">
        <f t="shared" si="17"/>
        <v>4254770</v>
      </c>
    </row>
    <row r="895" spans="1:7" x14ac:dyDescent="0.2">
      <c r="A895" s="13">
        <v>44754</v>
      </c>
      <c r="C895" s="2" t="s">
        <v>608</v>
      </c>
      <c r="D895" s="1" t="s">
        <v>9</v>
      </c>
      <c r="F895" s="3">
        <f>1903699</f>
        <v>1903699</v>
      </c>
      <c r="G895" s="10">
        <f t="shared" si="17"/>
        <v>2351071</v>
      </c>
    </row>
    <row r="896" spans="1:7" x14ac:dyDescent="0.2">
      <c r="A896" s="13">
        <v>44754</v>
      </c>
      <c r="B896" s="1" t="s">
        <v>609</v>
      </c>
      <c r="C896" s="23" t="s">
        <v>654</v>
      </c>
      <c r="D896" s="1" t="s">
        <v>9</v>
      </c>
      <c r="F896" s="3">
        <v>165000</v>
      </c>
      <c r="G896" s="10">
        <f t="shared" si="17"/>
        <v>2186071</v>
      </c>
    </row>
    <row r="897" spans="1:7" x14ac:dyDescent="0.2">
      <c r="A897" s="13">
        <v>44754</v>
      </c>
      <c r="B897" s="1" t="s">
        <v>610</v>
      </c>
      <c r="C897" s="23" t="s">
        <v>154</v>
      </c>
      <c r="D897" s="1" t="s">
        <v>9</v>
      </c>
      <c r="F897" s="3">
        <v>289805</v>
      </c>
      <c r="G897" s="10">
        <f t="shared" si="17"/>
        <v>1896266</v>
      </c>
    </row>
    <row r="898" spans="1:7" x14ac:dyDescent="0.2">
      <c r="A898" s="13">
        <v>44754</v>
      </c>
      <c r="B898" s="1" t="s">
        <v>611</v>
      </c>
      <c r="C898" s="23" t="s">
        <v>557</v>
      </c>
      <c r="D898" s="1" t="s">
        <v>9</v>
      </c>
      <c r="F898" s="3">
        <v>228000</v>
      </c>
      <c r="G898" s="10">
        <f t="shared" si="17"/>
        <v>1668266</v>
      </c>
    </row>
    <row r="899" spans="1:7" x14ac:dyDescent="0.2">
      <c r="A899" s="13">
        <v>44755</v>
      </c>
      <c r="C899" s="2" t="s">
        <v>377</v>
      </c>
      <c r="D899" s="1" t="s">
        <v>9</v>
      </c>
      <c r="E899" s="3">
        <v>800000</v>
      </c>
      <c r="G899" s="10">
        <f t="shared" si="17"/>
        <v>2468266</v>
      </c>
    </row>
    <row r="900" spans="1:7" x14ac:dyDescent="0.2">
      <c r="A900" s="13">
        <v>44755</v>
      </c>
      <c r="C900" s="23" t="s">
        <v>613</v>
      </c>
      <c r="D900" s="1" t="s">
        <v>9</v>
      </c>
      <c r="E900" s="3">
        <f>254880+5768+251453+136408+84370+152434+440848</f>
        <v>1326161</v>
      </c>
      <c r="G900" s="10">
        <f t="shared" si="17"/>
        <v>3794427</v>
      </c>
    </row>
    <row r="901" spans="1:7" x14ac:dyDescent="0.2">
      <c r="A901" s="13">
        <v>44755</v>
      </c>
      <c r="C901" s="2" t="s">
        <v>53</v>
      </c>
      <c r="D901" s="1" t="s">
        <v>9</v>
      </c>
      <c r="F901" s="3">
        <v>100</v>
      </c>
      <c r="G901" s="10">
        <f t="shared" si="17"/>
        <v>3794327</v>
      </c>
    </row>
    <row r="902" spans="1:7" x14ac:dyDescent="0.2">
      <c r="A902" s="13">
        <v>44757</v>
      </c>
      <c r="C902" s="2" t="s">
        <v>612</v>
      </c>
      <c r="D902" s="1" t="s">
        <v>9</v>
      </c>
      <c r="F902" s="3">
        <f>6801792+3300</f>
        <v>6805092</v>
      </c>
      <c r="G902" s="10">
        <f t="shared" si="17"/>
        <v>-3010765</v>
      </c>
    </row>
    <row r="903" spans="1:7" x14ac:dyDescent="0.2">
      <c r="A903" s="13">
        <v>44757</v>
      </c>
      <c r="C903" s="2" t="s">
        <v>432</v>
      </c>
      <c r="D903" s="1" t="s">
        <v>9</v>
      </c>
      <c r="F903" s="3">
        <f>76662+3300</f>
        <v>79962</v>
      </c>
      <c r="G903" s="10">
        <f t="shared" si="17"/>
        <v>-3090727</v>
      </c>
    </row>
    <row r="904" spans="1:7" x14ac:dyDescent="0.2">
      <c r="A904" s="13">
        <v>44757</v>
      </c>
      <c r="B904" s="1" t="s">
        <v>626</v>
      </c>
      <c r="C904" s="2" t="s">
        <v>625</v>
      </c>
      <c r="D904" s="1" t="s">
        <v>9</v>
      </c>
      <c r="F904" s="3">
        <v>1535774</v>
      </c>
      <c r="G904" s="10">
        <f t="shared" si="17"/>
        <v>-4626501</v>
      </c>
    </row>
    <row r="905" spans="1:7" x14ac:dyDescent="0.2">
      <c r="A905" s="13">
        <v>44757</v>
      </c>
      <c r="C905" s="2" t="s">
        <v>377</v>
      </c>
      <c r="D905" s="1" t="s">
        <v>9</v>
      </c>
      <c r="E905" s="3">
        <v>900000</v>
      </c>
      <c r="G905" s="10">
        <f t="shared" si="17"/>
        <v>-3726501</v>
      </c>
    </row>
    <row r="906" spans="1:7" x14ac:dyDescent="0.2">
      <c r="A906" s="13">
        <v>44757</v>
      </c>
      <c r="C906" s="23" t="s">
        <v>614</v>
      </c>
      <c r="D906" s="1" t="s">
        <v>9</v>
      </c>
      <c r="E906" s="3">
        <f>325201+92172+381282</f>
        <v>798655</v>
      </c>
      <c r="G906" s="10">
        <f t="shared" si="17"/>
        <v>-2927846</v>
      </c>
    </row>
    <row r="907" spans="1:7" x14ac:dyDescent="0.2">
      <c r="A907" s="13">
        <v>44757</v>
      </c>
      <c r="C907" s="2" t="s">
        <v>35</v>
      </c>
      <c r="D907" s="1" t="s">
        <v>9</v>
      </c>
      <c r="F907" s="3">
        <v>6600</v>
      </c>
      <c r="G907" s="10">
        <f t="shared" si="17"/>
        <v>-2934446</v>
      </c>
    </row>
    <row r="908" spans="1:7" x14ac:dyDescent="0.2">
      <c r="A908" s="13">
        <v>44757</v>
      </c>
      <c r="C908" s="2" t="s">
        <v>53</v>
      </c>
      <c r="D908" s="1" t="s">
        <v>9</v>
      </c>
      <c r="F908" s="3">
        <v>100</v>
      </c>
      <c r="G908" s="10">
        <f t="shared" si="17"/>
        <v>-2934546</v>
      </c>
    </row>
    <row r="909" spans="1:7" x14ac:dyDescent="0.2">
      <c r="A909" s="13">
        <v>44760</v>
      </c>
      <c r="C909" s="2" t="s">
        <v>616</v>
      </c>
      <c r="D909" s="1" t="s">
        <v>9</v>
      </c>
      <c r="E909" s="3">
        <v>5400000</v>
      </c>
      <c r="G909" s="10">
        <f t="shared" si="17"/>
        <v>2465454</v>
      </c>
    </row>
    <row r="910" spans="1:7" x14ac:dyDescent="0.2">
      <c r="A910" s="13">
        <v>44760</v>
      </c>
      <c r="C910" s="2" t="s">
        <v>615</v>
      </c>
      <c r="D910" s="1" t="s">
        <v>9</v>
      </c>
      <c r="F910" s="3">
        <f>5184868+127702</f>
        <v>5312570</v>
      </c>
      <c r="G910" s="10">
        <f t="shared" si="17"/>
        <v>-2847116</v>
      </c>
    </row>
    <row r="911" spans="1:7" x14ac:dyDescent="0.2">
      <c r="A911" s="13">
        <v>44760</v>
      </c>
      <c r="C911" s="2" t="s">
        <v>53</v>
      </c>
      <c r="D911" s="1" t="s">
        <v>9</v>
      </c>
      <c r="F911" s="3">
        <v>100</v>
      </c>
      <c r="G911" s="10">
        <f t="shared" si="17"/>
        <v>-2847216</v>
      </c>
    </row>
    <row r="912" spans="1:7" x14ac:dyDescent="0.2">
      <c r="A912" s="13">
        <v>44761</v>
      </c>
      <c r="C912" s="2" t="s">
        <v>21</v>
      </c>
      <c r="D912" s="1" t="s">
        <v>9</v>
      </c>
      <c r="E912" s="3">
        <v>1100011</v>
      </c>
      <c r="G912" s="10">
        <f t="shared" si="17"/>
        <v>-1747205</v>
      </c>
    </row>
    <row r="913" spans="1:7" x14ac:dyDescent="0.2">
      <c r="A913" s="13">
        <v>44761</v>
      </c>
      <c r="C913" s="2" t="s">
        <v>555</v>
      </c>
      <c r="D913" s="1" t="s">
        <v>9</v>
      </c>
      <c r="E913" s="3">
        <v>30586</v>
      </c>
      <c r="G913" s="10">
        <f t="shared" si="17"/>
        <v>-1716619</v>
      </c>
    </row>
    <row r="914" spans="1:7" x14ac:dyDescent="0.2">
      <c r="A914" s="13">
        <v>44761</v>
      </c>
      <c r="C914" s="2" t="s">
        <v>616</v>
      </c>
      <c r="D914" s="1" t="s">
        <v>9</v>
      </c>
      <c r="E914" s="3">
        <v>1400000</v>
      </c>
      <c r="G914" s="10">
        <f t="shared" si="17"/>
        <v>-316619</v>
      </c>
    </row>
    <row r="915" spans="1:7" x14ac:dyDescent="0.2">
      <c r="A915" s="13">
        <v>44761</v>
      </c>
      <c r="C915" s="23" t="s">
        <v>618</v>
      </c>
      <c r="D915" s="1" t="s">
        <v>9</v>
      </c>
      <c r="E915" s="3">
        <f>97647+481883+35046+291478+500038+207120</f>
        <v>1613212</v>
      </c>
      <c r="G915" s="10">
        <f t="shared" si="17"/>
        <v>1296593</v>
      </c>
    </row>
    <row r="916" spans="1:7" x14ac:dyDescent="0.2">
      <c r="A916" s="13">
        <v>44762</v>
      </c>
      <c r="C916" s="23" t="s">
        <v>619</v>
      </c>
      <c r="D916" s="1" t="s">
        <v>9</v>
      </c>
      <c r="E916" s="3">
        <f>952145+248331</f>
        <v>1200476</v>
      </c>
      <c r="G916" s="10">
        <f t="shared" si="17"/>
        <v>2497069</v>
      </c>
    </row>
    <row r="917" spans="1:7" x14ac:dyDescent="0.2">
      <c r="A917" s="13">
        <v>44762</v>
      </c>
      <c r="C917" s="23" t="s">
        <v>123</v>
      </c>
      <c r="D917" s="1" t="s">
        <v>9</v>
      </c>
      <c r="E917" s="3">
        <v>500000</v>
      </c>
      <c r="G917" s="10">
        <f t="shared" si="17"/>
        <v>2997069</v>
      </c>
    </row>
    <row r="918" spans="1:7" x14ac:dyDescent="0.2">
      <c r="A918" s="13">
        <v>44762</v>
      </c>
      <c r="C918" s="2" t="s">
        <v>53</v>
      </c>
      <c r="D918" s="1" t="s">
        <v>9</v>
      </c>
      <c r="F918" s="3">
        <v>100</v>
      </c>
      <c r="G918" s="10">
        <f t="shared" si="17"/>
        <v>2996969</v>
      </c>
    </row>
    <row r="919" spans="1:7" x14ac:dyDescent="0.2">
      <c r="A919" s="13">
        <v>44763</v>
      </c>
      <c r="C919" s="2" t="s">
        <v>617</v>
      </c>
      <c r="D919" s="1" t="s">
        <v>9</v>
      </c>
      <c r="F919" s="3">
        <f>2772972</f>
        <v>2772972</v>
      </c>
      <c r="G919" s="10">
        <f t="shared" si="17"/>
        <v>223997</v>
      </c>
    </row>
    <row r="920" spans="1:7" x14ac:dyDescent="0.2">
      <c r="A920" s="13">
        <v>44763</v>
      </c>
      <c r="C920" s="2" t="s">
        <v>377</v>
      </c>
      <c r="D920" s="1" t="s">
        <v>9</v>
      </c>
      <c r="E920" s="3">
        <v>1500000</v>
      </c>
      <c r="G920" s="10">
        <f t="shared" si="17"/>
        <v>1723997</v>
      </c>
    </row>
    <row r="921" spans="1:7" x14ac:dyDescent="0.2">
      <c r="A921" s="13">
        <v>44763</v>
      </c>
      <c r="C921" s="2" t="s">
        <v>258</v>
      </c>
      <c r="D921" s="1" t="s">
        <v>9</v>
      </c>
      <c r="E921" s="3">
        <v>442000</v>
      </c>
      <c r="G921" s="10">
        <f t="shared" si="17"/>
        <v>2165997</v>
      </c>
    </row>
    <row r="922" spans="1:7" x14ac:dyDescent="0.2">
      <c r="A922" s="13">
        <v>44763</v>
      </c>
      <c r="C922" s="2" t="s">
        <v>53</v>
      </c>
      <c r="D922" s="1" t="s">
        <v>9</v>
      </c>
      <c r="F922" s="3">
        <v>100</v>
      </c>
      <c r="G922" s="10">
        <f t="shared" si="17"/>
        <v>2165897</v>
      </c>
    </row>
    <row r="923" spans="1:7" x14ac:dyDescent="0.2">
      <c r="A923" s="13">
        <v>44763</v>
      </c>
      <c r="C923" s="2" t="s">
        <v>144</v>
      </c>
      <c r="D923" s="1" t="s">
        <v>9</v>
      </c>
      <c r="E923" s="3">
        <v>132998</v>
      </c>
      <c r="G923" s="10">
        <f t="shared" si="17"/>
        <v>2298895</v>
      </c>
    </row>
    <row r="924" spans="1:7" x14ac:dyDescent="0.2">
      <c r="A924" s="13">
        <v>44764</v>
      </c>
      <c r="C924" s="23" t="s">
        <v>184</v>
      </c>
      <c r="D924" s="1" t="s">
        <v>9</v>
      </c>
      <c r="E924" s="3">
        <v>5666803</v>
      </c>
      <c r="G924" s="10">
        <f t="shared" ref="G924:G993" si="18">G923+E924-F924</f>
        <v>7965698</v>
      </c>
    </row>
    <row r="925" spans="1:7" x14ac:dyDescent="0.2">
      <c r="A925" s="13">
        <v>44764</v>
      </c>
      <c r="C925" s="23" t="s">
        <v>620</v>
      </c>
      <c r="D925" s="1" t="s">
        <v>9</v>
      </c>
      <c r="E925" s="3">
        <v>1329137</v>
      </c>
      <c r="G925" s="10">
        <f t="shared" si="18"/>
        <v>9294835</v>
      </c>
    </row>
    <row r="926" spans="1:7" x14ac:dyDescent="0.2">
      <c r="A926" s="13">
        <v>44764</v>
      </c>
      <c r="C926" s="23" t="s">
        <v>621</v>
      </c>
      <c r="D926" s="1" t="s">
        <v>9</v>
      </c>
      <c r="E926" s="3">
        <f>418181+252756+193620+212164</f>
        <v>1076721</v>
      </c>
      <c r="G926" s="10">
        <f t="shared" si="18"/>
        <v>10371556</v>
      </c>
    </row>
    <row r="927" spans="1:7" x14ac:dyDescent="0.2">
      <c r="A927" s="13">
        <v>44764</v>
      </c>
      <c r="C927" s="23" t="s">
        <v>622</v>
      </c>
      <c r="D927" s="1" t="s">
        <v>9</v>
      </c>
      <c r="E927" s="3">
        <v>569020</v>
      </c>
      <c r="G927" s="10">
        <f t="shared" si="18"/>
        <v>10940576</v>
      </c>
    </row>
    <row r="928" spans="1:7" x14ac:dyDescent="0.2">
      <c r="A928" s="13">
        <v>44767</v>
      </c>
      <c r="B928" s="1" t="s">
        <v>623</v>
      </c>
      <c r="C928" s="23" t="s">
        <v>624</v>
      </c>
      <c r="D928" s="1" t="s">
        <v>9</v>
      </c>
      <c r="F928" s="3">
        <v>600000</v>
      </c>
      <c r="G928" s="10">
        <f t="shared" si="18"/>
        <v>10340576</v>
      </c>
    </row>
    <row r="929" spans="1:9" x14ac:dyDescent="0.2">
      <c r="A929" s="13">
        <v>44767</v>
      </c>
      <c r="C929" s="23" t="s">
        <v>627</v>
      </c>
      <c r="D929" s="1" t="s">
        <v>9</v>
      </c>
      <c r="F929" s="3">
        <f>7752074+178402</f>
        <v>7930476</v>
      </c>
      <c r="G929" s="10">
        <f t="shared" si="18"/>
        <v>2410100</v>
      </c>
    </row>
    <row r="930" spans="1:9" x14ac:dyDescent="0.2">
      <c r="A930" s="13">
        <v>44767</v>
      </c>
      <c r="C930" s="23" t="s">
        <v>629</v>
      </c>
      <c r="D930" s="1" t="s">
        <v>9</v>
      </c>
      <c r="E930" s="3">
        <f>534428+130994</f>
        <v>665422</v>
      </c>
      <c r="G930" s="10">
        <f t="shared" si="18"/>
        <v>3075522</v>
      </c>
    </row>
    <row r="931" spans="1:9" x14ac:dyDescent="0.2">
      <c r="A931" s="13">
        <v>44767</v>
      </c>
      <c r="C931" s="2" t="s">
        <v>35</v>
      </c>
      <c r="D931" s="1" t="s">
        <v>9</v>
      </c>
      <c r="F931" s="3">
        <v>6600</v>
      </c>
      <c r="G931" s="10">
        <f t="shared" si="18"/>
        <v>3068922</v>
      </c>
    </row>
    <row r="932" spans="1:9" x14ac:dyDescent="0.2">
      <c r="A932" s="13">
        <v>44767</v>
      </c>
      <c r="C932" s="2" t="s">
        <v>27</v>
      </c>
      <c r="D932" s="1" t="s">
        <v>9</v>
      </c>
      <c r="F932" s="3">
        <v>150000</v>
      </c>
      <c r="G932" s="10">
        <f t="shared" si="18"/>
        <v>2918922</v>
      </c>
    </row>
    <row r="933" spans="1:9" x14ac:dyDescent="0.2">
      <c r="A933" s="13">
        <v>44768</v>
      </c>
      <c r="C933" s="2" t="s">
        <v>116</v>
      </c>
      <c r="D933" s="1" t="s">
        <v>9</v>
      </c>
      <c r="E933" s="3">
        <v>333846</v>
      </c>
      <c r="G933" s="10">
        <f t="shared" si="18"/>
        <v>3252768</v>
      </c>
    </row>
    <row r="934" spans="1:9" x14ac:dyDescent="0.2">
      <c r="A934" s="13">
        <v>44769</v>
      </c>
      <c r="C934" s="2" t="s">
        <v>628</v>
      </c>
      <c r="D934" s="1" t="s">
        <v>9</v>
      </c>
      <c r="F934" s="3">
        <f>4360671+124546</f>
        <v>4485217</v>
      </c>
      <c r="G934" s="10">
        <f t="shared" si="18"/>
        <v>-1232449</v>
      </c>
    </row>
    <row r="935" spans="1:9" x14ac:dyDescent="0.2">
      <c r="A935" s="13">
        <v>44771</v>
      </c>
      <c r="C935" s="2" t="s">
        <v>630</v>
      </c>
      <c r="D935" s="1" t="s">
        <v>9</v>
      </c>
      <c r="F935" s="3">
        <f>2403481</f>
        <v>2403481</v>
      </c>
      <c r="G935" s="10">
        <f t="shared" si="18"/>
        <v>-3635930</v>
      </c>
    </row>
    <row r="936" spans="1:9" x14ac:dyDescent="0.2">
      <c r="A936" s="13">
        <v>44771</v>
      </c>
      <c r="C936" s="2" t="s">
        <v>34</v>
      </c>
      <c r="D936" s="1" t="s">
        <v>9</v>
      </c>
      <c r="F936" s="3">
        <v>1100</v>
      </c>
      <c r="G936" s="10">
        <f t="shared" si="18"/>
        <v>-3637030</v>
      </c>
    </row>
    <row r="937" spans="1:9" x14ac:dyDescent="0.2">
      <c r="A937" s="13">
        <v>44771</v>
      </c>
      <c r="B937" s="1" t="s">
        <v>631</v>
      </c>
      <c r="C937" s="2" t="s">
        <v>150</v>
      </c>
      <c r="D937" s="1" t="s">
        <v>9</v>
      </c>
      <c r="F937" s="3">
        <v>114000</v>
      </c>
      <c r="G937" s="10">
        <f t="shared" si="18"/>
        <v>-3751030</v>
      </c>
    </row>
    <row r="938" spans="1:9" x14ac:dyDescent="0.2">
      <c r="A938" s="13">
        <v>44771</v>
      </c>
      <c r="C938" s="23" t="s">
        <v>632</v>
      </c>
      <c r="D938" s="1" t="s">
        <v>9</v>
      </c>
      <c r="E938" s="3">
        <f>34143+40630+165731+489464+76000+105945</f>
        <v>911913</v>
      </c>
      <c r="G938" s="10">
        <f t="shared" si="18"/>
        <v>-2839117</v>
      </c>
    </row>
    <row r="939" spans="1:9" x14ac:dyDescent="0.2">
      <c r="A939" s="13">
        <v>44771</v>
      </c>
      <c r="C939" s="2" t="s">
        <v>634</v>
      </c>
      <c r="D939" s="1" t="s">
        <v>9</v>
      </c>
      <c r="F939" s="3">
        <v>108861</v>
      </c>
      <c r="G939" s="10">
        <f t="shared" si="18"/>
        <v>-2947978</v>
      </c>
    </row>
    <row r="940" spans="1:9" ht="15.75" x14ac:dyDescent="0.25">
      <c r="A940" s="11" t="s">
        <v>657</v>
      </c>
      <c r="G940" s="10"/>
    </row>
    <row r="941" spans="1:9" x14ac:dyDescent="0.2">
      <c r="A941" s="13">
        <v>44775</v>
      </c>
      <c r="C941" s="2" t="s">
        <v>84</v>
      </c>
      <c r="D941" s="1" t="s">
        <v>9</v>
      </c>
      <c r="F941" s="3">
        <v>185185</v>
      </c>
      <c r="G941" s="10">
        <f>G939+E941-F941</f>
        <v>-3133163</v>
      </c>
      <c r="I941" s="25">
        <v>-2740163</v>
      </c>
    </row>
    <row r="942" spans="1:9" x14ac:dyDescent="0.2">
      <c r="A942" s="13">
        <v>44776</v>
      </c>
      <c r="B942" s="1" t="s">
        <v>633</v>
      </c>
      <c r="C942" s="23" t="s">
        <v>658</v>
      </c>
      <c r="D942" s="22" t="s">
        <v>9</v>
      </c>
      <c r="E942" s="24"/>
      <c r="F942" s="24">
        <v>372000</v>
      </c>
      <c r="G942" s="10">
        <f t="shared" si="18"/>
        <v>-3505163</v>
      </c>
      <c r="I942" s="10">
        <f>I941-F928-F896</f>
        <v>-3505163</v>
      </c>
    </row>
    <row r="943" spans="1:9" x14ac:dyDescent="0.2">
      <c r="A943" s="13">
        <v>44778</v>
      </c>
      <c r="B943" s="1" t="s">
        <v>635</v>
      </c>
      <c r="C943" s="23" t="s">
        <v>656</v>
      </c>
      <c r="D943" s="22" t="s">
        <v>9</v>
      </c>
      <c r="E943" s="24"/>
      <c r="F943" s="24">
        <v>224420</v>
      </c>
      <c r="G943" s="10">
        <f t="shared" si="18"/>
        <v>-3729583</v>
      </c>
    </row>
    <row r="944" spans="1:9" x14ac:dyDescent="0.2">
      <c r="A944" s="13">
        <v>44778</v>
      </c>
      <c r="C944" s="2" t="s">
        <v>18</v>
      </c>
      <c r="D944" s="1" t="s">
        <v>9</v>
      </c>
      <c r="E944" s="3">
        <v>60690</v>
      </c>
      <c r="G944" s="10">
        <f t="shared" si="18"/>
        <v>-3668893</v>
      </c>
    </row>
    <row r="945" spans="1:7" x14ac:dyDescent="0.2">
      <c r="A945" s="13">
        <v>44778</v>
      </c>
      <c r="C945" s="2" t="s">
        <v>18</v>
      </c>
      <c r="D945" s="1" t="s">
        <v>9</v>
      </c>
      <c r="E945" s="3">
        <v>10795</v>
      </c>
      <c r="G945" s="10">
        <f t="shared" si="18"/>
        <v>-3658098</v>
      </c>
    </row>
    <row r="946" spans="1:7" x14ac:dyDescent="0.2">
      <c r="A946" s="13">
        <v>44778</v>
      </c>
      <c r="C946" s="2" t="s">
        <v>18</v>
      </c>
      <c r="D946" s="1" t="s">
        <v>9</v>
      </c>
      <c r="E946" s="3">
        <v>280</v>
      </c>
      <c r="G946" s="10">
        <f t="shared" si="18"/>
        <v>-3657818</v>
      </c>
    </row>
    <row r="947" spans="1:7" x14ac:dyDescent="0.2">
      <c r="A947" s="13">
        <v>44778</v>
      </c>
      <c r="C947" s="2" t="s">
        <v>165</v>
      </c>
      <c r="D947" s="1" t="s">
        <v>9</v>
      </c>
      <c r="E947" s="3">
        <v>129200</v>
      </c>
      <c r="G947" s="10">
        <f t="shared" si="18"/>
        <v>-3528618</v>
      </c>
    </row>
    <row r="948" spans="1:7" x14ac:dyDescent="0.2">
      <c r="A948" s="13">
        <v>44778</v>
      </c>
      <c r="C948" s="2" t="s">
        <v>498</v>
      </c>
      <c r="D948" s="1" t="s">
        <v>9</v>
      </c>
      <c r="E948" s="3">
        <v>398245</v>
      </c>
      <c r="G948" s="10">
        <f t="shared" si="18"/>
        <v>-3130373</v>
      </c>
    </row>
    <row r="949" spans="1:7" x14ac:dyDescent="0.2">
      <c r="A949" s="13">
        <v>44782</v>
      </c>
      <c r="C949" s="2" t="s">
        <v>137</v>
      </c>
      <c r="D949" s="1" t="s">
        <v>9</v>
      </c>
      <c r="E949" s="3">
        <v>68204</v>
      </c>
      <c r="G949" s="10">
        <f t="shared" si="18"/>
        <v>-3062169</v>
      </c>
    </row>
    <row r="950" spans="1:7" x14ac:dyDescent="0.2">
      <c r="A950" s="13">
        <v>44783</v>
      </c>
      <c r="C950" s="23" t="s">
        <v>647</v>
      </c>
      <c r="D950" s="22" t="s">
        <v>9</v>
      </c>
      <c r="E950" s="24">
        <f>671517+503000+106436+111975+509826+60829+96996</f>
        <v>2060579</v>
      </c>
      <c r="G950" s="10">
        <f t="shared" si="18"/>
        <v>-1001590</v>
      </c>
    </row>
    <row r="951" spans="1:7" x14ac:dyDescent="0.2">
      <c r="A951" s="13">
        <v>44784</v>
      </c>
      <c r="C951" s="2" t="s">
        <v>35</v>
      </c>
      <c r="D951" s="1" t="s">
        <v>9</v>
      </c>
      <c r="F951" s="3">
        <v>6600</v>
      </c>
      <c r="G951" s="10">
        <f t="shared" si="18"/>
        <v>-1008190</v>
      </c>
    </row>
    <row r="952" spans="1:7" x14ac:dyDescent="0.2">
      <c r="A952" s="13">
        <v>44789</v>
      </c>
      <c r="C952" s="23" t="s">
        <v>648</v>
      </c>
      <c r="D952" s="22" t="s">
        <v>9</v>
      </c>
      <c r="E952" s="24">
        <f>611240+120441+285678+224613+204948+574896+1419941</f>
        <v>3441757</v>
      </c>
      <c r="G952" s="10">
        <f t="shared" si="18"/>
        <v>2433567</v>
      </c>
    </row>
    <row r="953" spans="1:7" x14ac:dyDescent="0.2">
      <c r="A953" s="13">
        <v>44789</v>
      </c>
      <c r="C953" s="2" t="s">
        <v>165</v>
      </c>
      <c r="D953" s="1" t="s">
        <v>9</v>
      </c>
      <c r="E953" s="3">
        <v>134400</v>
      </c>
      <c r="G953" s="10">
        <f t="shared" si="18"/>
        <v>2567967</v>
      </c>
    </row>
    <row r="954" spans="1:7" x14ac:dyDescent="0.2">
      <c r="A954" s="13">
        <v>44790</v>
      </c>
      <c r="C954" s="2" t="s">
        <v>116</v>
      </c>
      <c r="D954" s="1" t="s">
        <v>9</v>
      </c>
      <c r="E954" s="3">
        <v>1507568</v>
      </c>
      <c r="G954" s="10">
        <f t="shared" si="18"/>
        <v>4075535</v>
      </c>
    </row>
    <row r="955" spans="1:7" x14ac:dyDescent="0.2">
      <c r="A955" s="13">
        <v>44791</v>
      </c>
      <c r="C955" s="2" t="s">
        <v>35</v>
      </c>
      <c r="D955" s="1" t="s">
        <v>9</v>
      </c>
      <c r="F955" s="3">
        <v>6600</v>
      </c>
      <c r="G955" s="10">
        <f t="shared" si="18"/>
        <v>4068935</v>
      </c>
    </row>
    <row r="956" spans="1:7" x14ac:dyDescent="0.2">
      <c r="A956" s="13">
        <v>44791</v>
      </c>
      <c r="C956" s="2" t="s">
        <v>35</v>
      </c>
      <c r="D956" s="1" t="s">
        <v>9</v>
      </c>
      <c r="F956" s="3">
        <v>6600</v>
      </c>
      <c r="G956" s="10">
        <f t="shared" si="18"/>
        <v>4062335</v>
      </c>
    </row>
    <row r="957" spans="1:7" x14ac:dyDescent="0.2">
      <c r="A957" s="13">
        <v>44791</v>
      </c>
      <c r="C957" s="23" t="s">
        <v>649</v>
      </c>
      <c r="D957" s="1" t="s">
        <v>9</v>
      </c>
      <c r="E957" s="3">
        <f>2011804+40120+362016</f>
        <v>2413940</v>
      </c>
      <c r="G957" s="10">
        <f t="shared" si="18"/>
        <v>6476275</v>
      </c>
    </row>
    <row r="958" spans="1:7" x14ac:dyDescent="0.2">
      <c r="A958" s="13">
        <v>44791</v>
      </c>
      <c r="C958" s="2" t="s">
        <v>555</v>
      </c>
      <c r="D958" s="1" t="s">
        <v>9</v>
      </c>
      <c r="E958" s="3">
        <v>199562</v>
      </c>
      <c r="G958" s="10">
        <f t="shared" si="18"/>
        <v>6675837</v>
      </c>
    </row>
    <row r="959" spans="1:7" x14ac:dyDescent="0.2">
      <c r="A959" s="13">
        <v>44792</v>
      </c>
      <c r="C959" s="2" t="s">
        <v>636</v>
      </c>
      <c r="D959" s="1" t="s">
        <v>9</v>
      </c>
      <c r="E959" s="3">
        <v>304824</v>
      </c>
      <c r="G959" s="10">
        <f t="shared" si="18"/>
        <v>6980661</v>
      </c>
    </row>
    <row r="960" spans="1:7" x14ac:dyDescent="0.2">
      <c r="A960" s="13">
        <v>44795</v>
      </c>
      <c r="C960" s="23" t="s">
        <v>650</v>
      </c>
      <c r="D960" s="1" t="s">
        <v>9</v>
      </c>
      <c r="E960" s="3">
        <v>2136108</v>
      </c>
      <c r="G960" s="10">
        <f t="shared" si="18"/>
        <v>9116769</v>
      </c>
    </row>
    <row r="961" spans="1:7" x14ac:dyDescent="0.2">
      <c r="A961" s="13">
        <v>44796</v>
      </c>
      <c r="C961" s="2" t="s">
        <v>637</v>
      </c>
      <c r="D961" s="1" t="s">
        <v>9</v>
      </c>
      <c r="F961" s="3">
        <f>752068</f>
        <v>752068</v>
      </c>
      <c r="G961" s="10">
        <f t="shared" si="18"/>
        <v>8364701</v>
      </c>
    </row>
    <row r="962" spans="1:7" x14ac:dyDescent="0.2">
      <c r="A962" s="13">
        <v>44796</v>
      </c>
      <c r="C962" s="2" t="s">
        <v>258</v>
      </c>
      <c r="D962" s="1" t="s">
        <v>9</v>
      </c>
      <c r="E962" s="3">
        <v>99450</v>
      </c>
      <c r="G962" s="10">
        <f t="shared" si="18"/>
        <v>8464151</v>
      </c>
    </row>
    <row r="963" spans="1:7" x14ac:dyDescent="0.2">
      <c r="A963" s="13">
        <v>44796</v>
      </c>
      <c r="C963" s="23" t="s">
        <v>652</v>
      </c>
      <c r="D963" s="1" t="s">
        <v>9</v>
      </c>
      <c r="E963" s="3">
        <f>215586+646404</f>
        <v>861990</v>
      </c>
      <c r="G963" s="10">
        <f t="shared" si="18"/>
        <v>9326141</v>
      </c>
    </row>
    <row r="964" spans="1:7" x14ac:dyDescent="0.2">
      <c r="A964" s="13">
        <v>44796</v>
      </c>
      <c r="B964" s="1" t="s">
        <v>638</v>
      </c>
      <c r="C964" s="23" t="s">
        <v>624</v>
      </c>
      <c r="D964" s="1" t="s">
        <v>9</v>
      </c>
      <c r="F964" s="3">
        <v>600000</v>
      </c>
      <c r="G964" s="10">
        <f t="shared" si="18"/>
        <v>8726141</v>
      </c>
    </row>
    <row r="965" spans="1:7" x14ac:dyDescent="0.2">
      <c r="A965" s="13">
        <v>44796</v>
      </c>
      <c r="B965" s="1" t="s">
        <v>639</v>
      </c>
      <c r="C965" s="23" t="s">
        <v>655</v>
      </c>
      <c r="D965" s="1" t="s">
        <v>9</v>
      </c>
      <c r="F965" s="3">
        <v>165000</v>
      </c>
      <c r="G965" s="10">
        <f t="shared" si="18"/>
        <v>8561141</v>
      </c>
    </row>
    <row r="966" spans="1:7" x14ac:dyDescent="0.2">
      <c r="A966" s="13">
        <v>44798</v>
      </c>
      <c r="C966" s="2" t="s">
        <v>651</v>
      </c>
      <c r="D966" s="1" t="s">
        <v>9</v>
      </c>
      <c r="F966" s="3">
        <f>7594414+175292</f>
        <v>7769706</v>
      </c>
      <c r="G966" s="10">
        <f t="shared" si="18"/>
        <v>791435</v>
      </c>
    </row>
    <row r="967" spans="1:7" x14ac:dyDescent="0.2">
      <c r="A967" s="13">
        <v>44798</v>
      </c>
      <c r="C967" s="2" t="s">
        <v>653</v>
      </c>
      <c r="D967" s="1" t="s">
        <v>9</v>
      </c>
      <c r="E967" s="3">
        <f>176829+218875+209733+522221+425791+175391</f>
        <v>1728840</v>
      </c>
      <c r="G967" s="10">
        <f t="shared" si="18"/>
        <v>2520275</v>
      </c>
    </row>
    <row r="968" spans="1:7" x14ac:dyDescent="0.2">
      <c r="A968" s="13">
        <v>44798</v>
      </c>
      <c r="C968" s="2" t="s">
        <v>641</v>
      </c>
      <c r="D968" s="1" t="s">
        <v>9</v>
      </c>
      <c r="F968" s="3">
        <f>335000+275</f>
        <v>335275</v>
      </c>
      <c r="G968" s="10">
        <f t="shared" si="18"/>
        <v>2185000</v>
      </c>
    </row>
    <row r="969" spans="1:7" x14ac:dyDescent="0.2">
      <c r="A969" s="13">
        <v>44798</v>
      </c>
      <c r="C969" s="2" t="s">
        <v>642</v>
      </c>
      <c r="D969" s="1" t="s">
        <v>9</v>
      </c>
      <c r="F969" s="3">
        <f>223681</f>
        <v>223681</v>
      </c>
      <c r="G969" s="10">
        <f t="shared" si="18"/>
        <v>1961319</v>
      </c>
    </row>
    <row r="970" spans="1:7" x14ac:dyDescent="0.2">
      <c r="A970" s="13">
        <v>44798</v>
      </c>
      <c r="C970" s="2" t="s">
        <v>643</v>
      </c>
      <c r="D970" s="1" t="s">
        <v>9</v>
      </c>
      <c r="F970" s="3">
        <f>1794696</f>
        <v>1794696</v>
      </c>
      <c r="G970" s="10">
        <f t="shared" si="18"/>
        <v>166623</v>
      </c>
    </row>
    <row r="971" spans="1:7" x14ac:dyDescent="0.2">
      <c r="A971" s="13">
        <v>44798</v>
      </c>
      <c r="C971" s="2" t="s">
        <v>644</v>
      </c>
      <c r="D971" s="1" t="s">
        <v>9</v>
      </c>
      <c r="F971" s="3">
        <f>344673+275</f>
        <v>344948</v>
      </c>
      <c r="G971" s="10">
        <f t="shared" si="18"/>
        <v>-178325</v>
      </c>
    </row>
    <row r="972" spans="1:7" x14ac:dyDescent="0.2">
      <c r="A972" s="13">
        <v>44798</v>
      </c>
      <c r="C972" s="2" t="s">
        <v>645</v>
      </c>
      <c r="D972" s="1" t="s">
        <v>9</v>
      </c>
      <c r="F972" s="3">
        <f>99120+275</f>
        <v>99395</v>
      </c>
      <c r="G972" s="10">
        <f t="shared" si="18"/>
        <v>-277720</v>
      </c>
    </row>
    <row r="973" spans="1:7" x14ac:dyDescent="0.2">
      <c r="A973" s="13">
        <v>44798</v>
      </c>
      <c r="C973" s="2" t="s">
        <v>646</v>
      </c>
      <c r="D973" s="1" t="s">
        <v>9</v>
      </c>
      <c r="F973" s="3">
        <f>137464+275</f>
        <v>137739</v>
      </c>
      <c r="G973" s="10">
        <f t="shared" si="18"/>
        <v>-415459</v>
      </c>
    </row>
    <row r="974" spans="1:7" x14ac:dyDescent="0.2">
      <c r="A974" s="13">
        <v>44798</v>
      </c>
      <c r="C974" s="2" t="s">
        <v>27</v>
      </c>
      <c r="D974" s="1" t="s">
        <v>9</v>
      </c>
      <c r="F974" s="3">
        <v>150000</v>
      </c>
      <c r="G974" s="10">
        <f t="shared" si="18"/>
        <v>-565459</v>
      </c>
    </row>
    <row r="975" spans="1:7" x14ac:dyDescent="0.2">
      <c r="A975" s="13">
        <v>44798</v>
      </c>
      <c r="C975" s="2" t="s">
        <v>137</v>
      </c>
      <c r="D975" s="1" t="s">
        <v>9</v>
      </c>
      <c r="E975" s="3">
        <v>3636</v>
      </c>
      <c r="G975" s="10">
        <f t="shared" si="18"/>
        <v>-561823</v>
      </c>
    </row>
    <row r="976" spans="1:7" x14ac:dyDescent="0.2">
      <c r="A976" s="13">
        <v>44798</v>
      </c>
      <c r="C976" s="2" t="s">
        <v>660</v>
      </c>
      <c r="D976" s="1" t="s">
        <v>9</v>
      </c>
      <c r="E976" s="3">
        <v>344182</v>
      </c>
      <c r="G976" s="10">
        <f t="shared" si="18"/>
        <v>-217641</v>
      </c>
    </row>
    <row r="977" spans="1:7" x14ac:dyDescent="0.2">
      <c r="A977" s="13">
        <v>44802</v>
      </c>
      <c r="C977" s="2" t="s">
        <v>661</v>
      </c>
      <c r="D977" s="1" t="s">
        <v>9</v>
      </c>
      <c r="F977" s="3">
        <f>3098178</f>
        <v>3098178</v>
      </c>
      <c r="G977" s="10">
        <f t="shared" si="18"/>
        <v>-3315819</v>
      </c>
    </row>
    <row r="978" spans="1:7" x14ac:dyDescent="0.2">
      <c r="A978" s="13">
        <v>44803</v>
      </c>
      <c r="B978" s="1" t="s">
        <v>640</v>
      </c>
      <c r="C978" s="23" t="s">
        <v>659</v>
      </c>
      <c r="D978" s="1" t="s">
        <v>9</v>
      </c>
      <c r="F978" s="3">
        <v>409774</v>
      </c>
      <c r="G978" s="10">
        <f t="shared" si="18"/>
        <v>-3725593</v>
      </c>
    </row>
    <row r="979" spans="1:7" x14ac:dyDescent="0.2">
      <c r="A979" s="13">
        <v>44804</v>
      </c>
      <c r="C979" s="2" t="s">
        <v>377</v>
      </c>
      <c r="D979" s="1" t="s">
        <v>9</v>
      </c>
      <c r="E979" s="3">
        <v>1000000</v>
      </c>
      <c r="G979" s="10">
        <f t="shared" si="18"/>
        <v>-2725593</v>
      </c>
    </row>
    <row r="980" spans="1:7" x14ac:dyDescent="0.2">
      <c r="A980" s="13">
        <v>44804</v>
      </c>
      <c r="C980" s="2" t="s">
        <v>663</v>
      </c>
      <c r="D980" s="1" t="s">
        <v>9</v>
      </c>
      <c r="E980" s="3">
        <f>185944+54864+32457+382999+352112+109240+579387+667308+33984+868009</f>
        <v>3266304</v>
      </c>
      <c r="G980" s="10">
        <f t="shared" si="18"/>
        <v>540711</v>
      </c>
    </row>
    <row r="981" spans="1:7" x14ac:dyDescent="0.2">
      <c r="A981" s="13">
        <v>44804</v>
      </c>
      <c r="C981" s="2" t="s">
        <v>664</v>
      </c>
      <c r="D981" s="1" t="s">
        <v>9</v>
      </c>
      <c r="F981" s="3">
        <v>56950</v>
      </c>
      <c r="G981" s="10">
        <f t="shared" si="18"/>
        <v>483761</v>
      </c>
    </row>
    <row r="982" spans="1:7" x14ac:dyDescent="0.2">
      <c r="A982" s="13">
        <v>44804</v>
      </c>
      <c r="C982" s="2" t="s">
        <v>53</v>
      </c>
      <c r="D982" s="1" t="s">
        <v>9</v>
      </c>
      <c r="F982" s="3">
        <v>100</v>
      </c>
      <c r="G982" s="10">
        <f t="shared" si="18"/>
        <v>483661</v>
      </c>
    </row>
    <row r="983" spans="1:7" ht="15.75" x14ac:dyDescent="0.25">
      <c r="A983" s="11" t="s">
        <v>665</v>
      </c>
      <c r="G983" s="10"/>
    </row>
    <row r="984" spans="1:7" x14ac:dyDescent="0.2">
      <c r="A984" s="13">
        <v>44805</v>
      </c>
      <c r="C984" s="2" t="s">
        <v>662</v>
      </c>
      <c r="D984" s="1" t="s">
        <v>9</v>
      </c>
      <c r="F984" s="3">
        <f>2652608</f>
        <v>2652608</v>
      </c>
      <c r="G984" s="10">
        <f>G982+E984-F984</f>
        <v>-2168947</v>
      </c>
    </row>
    <row r="985" spans="1:7" x14ac:dyDescent="0.2">
      <c r="A985" s="13">
        <v>44805</v>
      </c>
      <c r="C985" s="2" t="s">
        <v>667</v>
      </c>
      <c r="D985" s="1" t="s">
        <v>9</v>
      </c>
      <c r="F985" s="3">
        <v>4400</v>
      </c>
      <c r="G985" s="10">
        <f t="shared" si="18"/>
        <v>-2173347</v>
      </c>
    </row>
    <row r="986" spans="1:7" x14ac:dyDescent="0.2">
      <c r="A986" s="13">
        <v>44805</v>
      </c>
      <c r="C986" s="2" t="s">
        <v>189</v>
      </c>
      <c r="D986" s="1" t="s">
        <v>9</v>
      </c>
      <c r="E986" s="3">
        <v>181047</v>
      </c>
      <c r="G986" s="10">
        <f t="shared" si="18"/>
        <v>-1992300</v>
      </c>
    </row>
    <row r="987" spans="1:7" x14ac:dyDescent="0.2">
      <c r="A987" s="13">
        <v>44806</v>
      </c>
      <c r="C987" s="2" t="s">
        <v>666</v>
      </c>
      <c r="D987" s="1" t="s">
        <v>9</v>
      </c>
      <c r="F987" s="3">
        <v>3011391</v>
      </c>
      <c r="G987" s="10">
        <f t="shared" si="18"/>
        <v>-5003691</v>
      </c>
    </row>
    <row r="988" spans="1:7" x14ac:dyDescent="0.2">
      <c r="A988" s="13">
        <v>44806</v>
      </c>
      <c r="C988" s="2" t="s">
        <v>34</v>
      </c>
      <c r="D988" s="1" t="s">
        <v>9</v>
      </c>
      <c r="F988" s="3">
        <v>1100</v>
      </c>
      <c r="G988" s="10">
        <f t="shared" si="18"/>
        <v>-5004791</v>
      </c>
    </row>
    <row r="989" spans="1:7" x14ac:dyDescent="0.2">
      <c r="A989" s="13">
        <v>44809</v>
      </c>
      <c r="C989" s="2" t="s">
        <v>84</v>
      </c>
      <c r="D989" s="1" t="s">
        <v>9</v>
      </c>
      <c r="F989" s="3">
        <v>185185</v>
      </c>
      <c r="G989" s="10">
        <f t="shared" si="18"/>
        <v>-5189976</v>
      </c>
    </row>
    <row r="990" spans="1:7" x14ac:dyDescent="0.2">
      <c r="A990" s="13">
        <v>44809</v>
      </c>
      <c r="C990" s="2" t="s">
        <v>21</v>
      </c>
      <c r="D990" s="1" t="s">
        <v>9</v>
      </c>
      <c r="E990" s="3">
        <v>520028</v>
      </c>
      <c r="G990" s="10">
        <f t="shared" si="18"/>
        <v>-4669948</v>
      </c>
    </row>
    <row r="991" spans="1:7" x14ac:dyDescent="0.2">
      <c r="A991" s="13">
        <v>44809</v>
      </c>
      <c r="C991" s="2" t="s">
        <v>505</v>
      </c>
      <c r="D991" s="1" t="s">
        <v>9</v>
      </c>
      <c r="E991" s="3">
        <v>127440</v>
      </c>
      <c r="G991" s="10">
        <f t="shared" si="18"/>
        <v>-4542508</v>
      </c>
    </row>
    <row r="992" spans="1:7" x14ac:dyDescent="0.2">
      <c r="A992" s="13">
        <v>44809</v>
      </c>
      <c r="C992" s="2" t="s">
        <v>668</v>
      </c>
      <c r="D992" s="1" t="s">
        <v>9</v>
      </c>
      <c r="E992" s="3">
        <f>316278+34515+180682+69167+497252+522498</f>
        <v>1620392</v>
      </c>
      <c r="G992" s="10">
        <f t="shared" si="18"/>
        <v>-2922116</v>
      </c>
    </row>
    <row r="993" spans="1:7" x14ac:dyDescent="0.2">
      <c r="A993" s="13">
        <v>44809</v>
      </c>
      <c r="B993" s="1" t="s">
        <v>669</v>
      </c>
      <c r="C993" s="23" t="s">
        <v>154</v>
      </c>
      <c r="D993" s="1" t="s">
        <v>9</v>
      </c>
      <c r="F993" s="3">
        <v>267365</v>
      </c>
      <c r="G993" s="10">
        <f t="shared" si="18"/>
        <v>-3189481</v>
      </c>
    </row>
    <row r="994" spans="1:7" x14ac:dyDescent="0.2">
      <c r="A994" s="13">
        <v>44811</v>
      </c>
      <c r="C994" s="2" t="s">
        <v>671</v>
      </c>
      <c r="D994" s="1" t="s">
        <v>9</v>
      </c>
      <c r="E994" s="3">
        <f>308577+2818209+530174</f>
        <v>3656960</v>
      </c>
      <c r="G994" s="10">
        <f t="shared" ref="G994:G1009" si="19">G993+E994-F994</f>
        <v>467479</v>
      </c>
    </row>
    <row r="995" spans="1:7" x14ac:dyDescent="0.2">
      <c r="A995" s="13">
        <v>44812</v>
      </c>
      <c r="C995" s="2" t="s">
        <v>165</v>
      </c>
      <c r="D995" s="1" t="s">
        <v>9</v>
      </c>
      <c r="E995" s="3">
        <v>8000</v>
      </c>
      <c r="G995" s="10">
        <f t="shared" si="19"/>
        <v>475479</v>
      </c>
    </row>
    <row r="996" spans="1:7" x14ac:dyDescent="0.2">
      <c r="A996" s="13">
        <v>44813</v>
      </c>
      <c r="C996" s="2" t="s">
        <v>678</v>
      </c>
      <c r="D996" s="1" t="s">
        <v>9</v>
      </c>
      <c r="E996" s="3">
        <f>347850+354755+135151+71225+1612423+45312</f>
        <v>2566716</v>
      </c>
      <c r="G996" s="10">
        <f t="shared" si="19"/>
        <v>3042195</v>
      </c>
    </row>
    <row r="997" spans="1:7" x14ac:dyDescent="0.2">
      <c r="A997" s="13">
        <v>44816</v>
      </c>
      <c r="C997" s="2" t="s">
        <v>672</v>
      </c>
      <c r="D997" s="1" t="s">
        <v>9</v>
      </c>
      <c r="F997" s="24">
        <f>335000+275</f>
        <v>335275</v>
      </c>
      <c r="G997" s="10">
        <f t="shared" si="19"/>
        <v>2706920</v>
      </c>
    </row>
    <row r="998" spans="1:7" x14ac:dyDescent="0.2">
      <c r="A998" s="13">
        <v>44816</v>
      </c>
      <c r="C998" s="2" t="s">
        <v>673</v>
      </c>
      <c r="D998" s="1" t="s">
        <v>9</v>
      </c>
      <c r="F998" s="3">
        <f>1186244</f>
        <v>1186244</v>
      </c>
      <c r="G998" s="10">
        <f t="shared" si="19"/>
        <v>1520676</v>
      </c>
    </row>
    <row r="999" spans="1:7" x14ac:dyDescent="0.2">
      <c r="A999" s="13">
        <v>44816</v>
      </c>
      <c r="C999" s="2" t="s">
        <v>674</v>
      </c>
      <c r="D999" s="1" t="s">
        <v>9</v>
      </c>
      <c r="F999" s="3">
        <f>488124+275</f>
        <v>488399</v>
      </c>
      <c r="G999" s="10">
        <f t="shared" si="19"/>
        <v>1032277</v>
      </c>
    </row>
    <row r="1000" spans="1:7" x14ac:dyDescent="0.2">
      <c r="A1000" s="13">
        <v>44816</v>
      </c>
      <c r="C1000" s="2" t="s">
        <v>675</v>
      </c>
      <c r="D1000" s="1" t="s">
        <v>9</v>
      </c>
      <c r="F1000" s="3">
        <f>575000</f>
        <v>575000</v>
      </c>
      <c r="G1000" s="10">
        <f t="shared" si="19"/>
        <v>457277</v>
      </c>
    </row>
    <row r="1001" spans="1:7" x14ac:dyDescent="0.2">
      <c r="A1001" s="13">
        <v>44816</v>
      </c>
      <c r="C1001" s="2" t="s">
        <v>676</v>
      </c>
      <c r="D1001" s="1" t="s">
        <v>9</v>
      </c>
      <c r="F1001" s="3">
        <f>191501</f>
        <v>191501</v>
      </c>
      <c r="G1001" s="10">
        <f t="shared" si="19"/>
        <v>265776</v>
      </c>
    </row>
    <row r="1002" spans="1:7" x14ac:dyDescent="0.2">
      <c r="A1002" s="13">
        <v>44816</v>
      </c>
      <c r="C1002" s="2" t="s">
        <v>677</v>
      </c>
      <c r="D1002" s="1" t="s">
        <v>9</v>
      </c>
      <c r="F1002" s="3">
        <f>285997+275</f>
        <v>286272</v>
      </c>
      <c r="G1002" s="10">
        <f t="shared" si="19"/>
        <v>-20496</v>
      </c>
    </row>
    <row r="1003" spans="1:7" x14ac:dyDescent="0.2">
      <c r="A1003" s="13">
        <v>44816</v>
      </c>
      <c r="C1003" s="2" t="s">
        <v>646</v>
      </c>
      <c r="D1003" s="1" t="s">
        <v>9</v>
      </c>
      <c r="F1003" s="3">
        <f>137464+275</f>
        <v>137739</v>
      </c>
      <c r="G1003" s="10">
        <f t="shared" si="19"/>
        <v>-158235</v>
      </c>
    </row>
    <row r="1004" spans="1:7" x14ac:dyDescent="0.2">
      <c r="A1004" s="13">
        <v>44816</v>
      </c>
      <c r="C1004" s="2" t="s">
        <v>679</v>
      </c>
      <c r="D1004" s="1" t="s">
        <v>9</v>
      </c>
      <c r="E1004" s="3">
        <f>361080+861537+211362+17672</f>
        <v>1451651</v>
      </c>
      <c r="G1004" s="10">
        <f t="shared" si="19"/>
        <v>1293416</v>
      </c>
    </row>
    <row r="1005" spans="1:7" x14ac:dyDescent="0.2">
      <c r="A1005" s="13">
        <v>44817</v>
      </c>
      <c r="C1005" s="2" t="s">
        <v>18</v>
      </c>
      <c r="D1005" s="1" t="s">
        <v>9</v>
      </c>
      <c r="E1005" s="3">
        <v>36975</v>
      </c>
      <c r="G1005" s="10">
        <f t="shared" si="19"/>
        <v>1330391</v>
      </c>
    </row>
    <row r="1006" spans="1:7" x14ac:dyDescent="0.2">
      <c r="A1006" s="13">
        <v>44818</v>
      </c>
      <c r="C1006" s="2" t="s">
        <v>680</v>
      </c>
      <c r="D1006" s="1" t="s">
        <v>9</v>
      </c>
      <c r="E1006" s="3">
        <f>26078+10408+1855935+413000</f>
        <v>2305421</v>
      </c>
      <c r="G1006" s="10">
        <f t="shared" si="19"/>
        <v>3635812</v>
      </c>
    </row>
    <row r="1007" spans="1:7" x14ac:dyDescent="0.2">
      <c r="A1007" s="13">
        <v>44818</v>
      </c>
      <c r="C1007" s="2" t="s">
        <v>670</v>
      </c>
      <c r="D1007" s="1" t="s">
        <v>9</v>
      </c>
      <c r="F1007" s="3">
        <f>1798226+5000</f>
        <v>1803226</v>
      </c>
      <c r="G1007" s="10">
        <f t="shared" si="19"/>
        <v>1832586</v>
      </c>
    </row>
    <row r="1008" spans="1:7" x14ac:dyDescent="0.2">
      <c r="A1008" s="13">
        <v>44818</v>
      </c>
      <c r="C1008" s="2" t="s">
        <v>670</v>
      </c>
      <c r="D1008" s="1" t="s">
        <v>9</v>
      </c>
      <c r="F1008" s="3">
        <f>229475+5000</f>
        <v>234475</v>
      </c>
      <c r="G1008" s="10">
        <f t="shared" si="19"/>
        <v>1598111</v>
      </c>
    </row>
    <row r="1009" spans="1:7" x14ac:dyDescent="0.2">
      <c r="A1009" s="21">
        <v>44818</v>
      </c>
      <c r="B1009" s="22" t="s">
        <v>689</v>
      </c>
      <c r="C1009" s="23" t="s">
        <v>725</v>
      </c>
      <c r="D1009" s="22" t="s">
        <v>9</v>
      </c>
      <c r="E1009" s="24"/>
      <c r="F1009" s="24">
        <v>600000</v>
      </c>
      <c r="G1009" s="10">
        <f t="shared" si="19"/>
        <v>998111</v>
      </c>
    </row>
    <row r="1010" spans="1:7" x14ac:dyDescent="0.2">
      <c r="A1010" s="13">
        <v>44819</v>
      </c>
      <c r="B1010" s="1" t="s">
        <v>688</v>
      </c>
      <c r="C1010" s="2" t="s">
        <v>700</v>
      </c>
      <c r="D1010" s="1" t="s">
        <v>9</v>
      </c>
      <c r="F1010" s="3">
        <v>165000</v>
      </c>
      <c r="G1010" s="10">
        <f t="shared" ref="G1010:G1073" si="20">G1009+E1010-F1010</f>
        <v>833111</v>
      </c>
    </row>
    <row r="1011" spans="1:7" x14ac:dyDescent="0.2">
      <c r="A1011" s="13">
        <v>44819</v>
      </c>
      <c r="C1011" s="2" t="s">
        <v>555</v>
      </c>
      <c r="D1011" s="1" t="s">
        <v>9</v>
      </c>
      <c r="E1011" s="3">
        <v>189272</v>
      </c>
      <c r="G1011" s="10">
        <f t="shared" si="20"/>
        <v>1022383</v>
      </c>
    </row>
    <row r="1012" spans="1:7" x14ac:dyDescent="0.2">
      <c r="A1012" s="13">
        <v>44820</v>
      </c>
      <c r="C1012" s="2" t="s">
        <v>681</v>
      </c>
      <c r="D1012" s="1" t="s">
        <v>9</v>
      </c>
      <c r="F1012" s="3">
        <f>2623612</f>
        <v>2623612</v>
      </c>
      <c r="G1012" s="10">
        <f t="shared" si="20"/>
        <v>-1601229</v>
      </c>
    </row>
    <row r="1013" spans="1:7" x14ac:dyDescent="0.2">
      <c r="A1013" s="13">
        <v>44820</v>
      </c>
      <c r="C1013" s="2" t="s">
        <v>682</v>
      </c>
      <c r="D1013" s="1" t="s">
        <v>9</v>
      </c>
      <c r="E1013" s="3">
        <f>89788+31093+444511+41625+2207469</f>
        <v>2814486</v>
      </c>
      <c r="G1013" s="10">
        <f t="shared" si="20"/>
        <v>1213257</v>
      </c>
    </row>
    <row r="1014" spans="1:7" x14ac:dyDescent="0.2">
      <c r="A1014" s="13">
        <v>44820</v>
      </c>
      <c r="C1014" s="2" t="s">
        <v>35</v>
      </c>
      <c r="D1014" s="1" t="s">
        <v>9</v>
      </c>
      <c r="F1014" s="3">
        <v>6600</v>
      </c>
      <c r="G1014" s="10">
        <f t="shared" si="20"/>
        <v>1206657</v>
      </c>
    </row>
    <row r="1015" spans="1:7" x14ac:dyDescent="0.2">
      <c r="A1015" s="21">
        <v>44820</v>
      </c>
      <c r="B1015" s="22"/>
      <c r="C1015" s="23" t="s">
        <v>687</v>
      </c>
      <c r="D1015" s="22" t="s">
        <v>9</v>
      </c>
      <c r="E1015" s="24">
        <v>335000</v>
      </c>
      <c r="F1015" s="24"/>
      <c r="G1015" s="10">
        <f t="shared" si="20"/>
        <v>1541657</v>
      </c>
    </row>
    <row r="1016" spans="1:7" x14ac:dyDescent="0.2">
      <c r="A1016" s="13">
        <v>44824</v>
      </c>
      <c r="C1016" s="2" t="s">
        <v>683</v>
      </c>
      <c r="D1016" s="1" t="s">
        <v>9</v>
      </c>
      <c r="E1016" s="3">
        <f>729783+803756+90270+636256</f>
        <v>2260065</v>
      </c>
      <c r="G1016" s="10">
        <f t="shared" si="20"/>
        <v>3801722</v>
      </c>
    </row>
    <row r="1017" spans="1:7" x14ac:dyDescent="0.2">
      <c r="A1017" s="13">
        <v>44824</v>
      </c>
      <c r="C1017" s="2" t="s">
        <v>684</v>
      </c>
      <c r="D1017" s="1" t="s">
        <v>9</v>
      </c>
      <c r="F1017" s="3">
        <f>3242120+89334</f>
        <v>3331454</v>
      </c>
      <c r="G1017" s="10">
        <f t="shared" si="20"/>
        <v>470268</v>
      </c>
    </row>
    <row r="1018" spans="1:7" x14ac:dyDescent="0.2">
      <c r="A1018" s="13">
        <v>44824</v>
      </c>
      <c r="C1018" s="2" t="s">
        <v>189</v>
      </c>
      <c r="D1018" s="1" t="s">
        <v>9</v>
      </c>
      <c r="E1018" s="3">
        <v>358800</v>
      </c>
      <c r="G1018" s="10">
        <f t="shared" si="20"/>
        <v>829068</v>
      </c>
    </row>
    <row r="1019" spans="1:7" x14ac:dyDescent="0.2">
      <c r="A1019" s="13">
        <v>44824</v>
      </c>
      <c r="C1019" s="2" t="s">
        <v>440</v>
      </c>
      <c r="D1019" s="1" t="s">
        <v>9</v>
      </c>
      <c r="E1019" s="3">
        <v>43808</v>
      </c>
      <c r="G1019" s="10">
        <f t="shared" si="20"/>
        <v>872876</v>
      </c>
    </row>
    <row r="1020" spans="1:7" x14ac:dyDescent="0.2">
      <c r="A1020" s="13">
        <v>44824</v>
      </c>
      <c r="C1020" s="2" t="s">
        <v>505</v>
      </c>
      <c r="D1020" s="1" t="s">
        <v>9</v>
      </c>
      <c r="E1020" s="3">
        <v>165141</v>
      </c>
      <c r="G1020" s="10">
        <f t="shared" si="20"/>
        <v>1038017</v>
      </c>
    </row>
    <row r="1021" spans="1:7" x14ac:dyDescent="0.2">
      <c r="A1021" s="13">
        <v>44827</v>
      </c>
      <c r="C1021" s="2" t="s">
        <v>685</v>
      </c>
      <c r="D1021" s="1" t="s">
        <v>9</v>
      </c>
      <c r="E1021" s="3">
        <f>3976895+178416+48664+211098+160480+514386+116112+242320</f>
        <v>5448371</v>
      </c>
      <c r="G1021" s="10">
        <f t="shared" si="20"/>
        <v>6486388</v>
      </c>
    </row>
    <row r="1022" spans="1:7" x14ac:dyDescent="0.2">
      <c r="A1022" s="13">
        <v>44830</v>
      </c>
      <c r="C1022" s="2" t="s">
        <v>686</v>
      </c>
      <c r="D1022" s="1" t="s">
        <v>9</v>
      </c>
      <c r="F1022" s="3">
        <f>3908227</f>
        <v>3908227</v>
      </c>
      <c r="G1022" s="10">
        <f t="shared" si="20"/>
        <v>2578161</v>
      </c>
    </row>
    <row r="1023" spans="1:7" x14ac:dyDescent="0.2">
      <c r="A1023" s="13">
        <v>44830</v>
      </c>
      <c r="B1023" s="1" t="s">
        <v>690</v>
      </c>
      <c r="C1023" s="2" t="s">
        <v>150</v>
      </c>
      <c r="D1023" s="1" t="s">
        <v>9</v>
      </c>
      <c r="F1023" s="3">
        <v>228000</v>
      </c>
      <c r="G1023" s="10">
        <f t="shared" si="20"/>
        <v>2350161</v>
      </c>
    </row>
    <row r="1024" spans="1:7" x14ac:dyDescent="0.2">
      <c r="A1024" s="13">
        <v>44832</v>
      </c>
      <c r="C1024" s="2" t="s">
        <v>258</v>
      </c>
      <c r="D1024" s="1" t="s">
        <v>9</v>
      </c>
      <c r="E1024" s="3">
        <v>868998</v>
      </c>
      <c r="G1024" s="10">
        <f t="shared" si="20"/>
        <v>3219159</v>
      </c>
    </row>
    <row r="1025" spans="1:7" x14ac:dyDescent="0.2">
      <c r="A1025" s="13">
        <v>44832</v>
      </c>
      <c r="C1025" s="2" t="s">
        <v>35</v>
      </c>
      <c r="D1025" s="1" t="s">
        <v>9</v>
      </c>
      <c r="F1025" s="3">
        <v>6600</v>
      </c>
      <c r="G1025" s="10">
        <f t="shared" si="20"/>
        <v>3212559</v>
      </c>
    </row>
    <row r="1026" spans="1:7" x14ac:dyDescent="0.2">
      <c r="A1026" s="13">
        <v>44832</v>
      </c>
      <c r="C1026" s="2" t="s">
        <v>692</v>
      </c>
      <c r="D1026" s="1" t="s">
        <v>9</v>
      </c>
      <c r="E1026" s="3">
        <f>231393+484081+73721+127782+529112+100300</f>
        <v>1546389</v>
      </c>
      <c r="G1026" s="10">
        <f t="shared" si="20"/>
        <v>4758948</v>
      </c>
    </row>
    <row r="1027" spans="1:7" x14ac:dyDescent="0.2">
      <c r="A1027" s="13">
        <v>44834</v>
      </c>
      <c r="C1027" s="2" t="s">
        <v>691</v>
      </c>
      <c r="D1027" s="1" t="s">
        <v>9</v>
      </c>
      <c r="F1027" s="3">
        <v>2681706</v>
      </c>
      <c r="G1027" s="10">
        <f t="shared" si="20"/>
        <v>2077242</v>
      </c>
    </row>
    <row r="1028" spans="1:7" x14ac:dyDescent="0.2">
      <c r="A1028" s="13">
        <v>44834</v>
      </c>
      <c r="C1028" s="2" t="s">
        <v>34</v>
      </c>
      <c r="D1028" s="1" t="s">
        <v>9</v>
      </c>
      <c r="F1028" s="3">
        <v>825</v>
      </c>
      <c r="G1028" s="10">
        <f t="shared" si="20"/>
        <v>2076417</v>
      </c>
    </row>
    <row r="1029" spans="1:7" x14ac:dyDescent="0.2">
      <c r="A1029" s="13">
        <v>44834</v>
      </c>
      <c r="C1029" s="2" t="s">
        <v>693</v>
      </c>
      <c r="D1029" s="1" t="s">
        <v>9</v>
      </c>
      <c r="E1029" s="3">
        <f>140715+246075+57728</f>
        <v>444518</v>
      </c>
      <c r="G1029" s="10">
        <f t="shared" si="20"/>
        <v>2520935</v>
      </c>
    </row>
    <row r="1030" spans="1:7" x14ac:dyDescent="0.2">
      <c r="A1030" s="13">
        <v>44834</v>
      </c>
      <c r="C1030" s="2" t="s">
        <v>616</v>
      </c>
      <c r="D1030" s="1" t="s">
        <v>9</v>
      </c>
      <c r="E1030" s="3">
        <v>3000000</v>
      </c>
      <c r="G1030" s="10">
        <f t="shared" si="20"/>
        <v>5520935</v>
      </c>
    </row>
    <row r="1031" spans="1:7" x14ac:dyDescent="0.2">
      <c r="A1031" s="13">
        <v>44834</v>
      </c>
      <c r="C1031" s="2" t="s">
        <v>53</v>
      </c>
      <c r="D1031" s="1" t="s">
        <v>9</v>
      </c>
      <c r="F1031" s="3">
        <v>100</v>
      </c>
      <c r="G1031" s="10">
        <f t="shared" si="20"/>
        <v>5520835</v>
      </c>
    </row>
    <row r="1032" spans="1:7" ht="15.75" x14ac:dyDescent="0.25">
      <c r="A1032" s="11" t="s">
        <v>694</v>
      </c>
      <c r="G1032" s="10"/>
    </row>
    <row r="1033" spans="1:7" x14ac:dyDescent="0.2">
      <c r="A1033" s="21">
        <v>44837</v>
      </c>
      <c r="B1033" s="22"/>
      <c r="C1033" s="23" t="s">
        <v>695</v>
      </c>
      <c r="D1033" s="22" t="s">
        <v>9</v>
      </c>
      <c r="E1033" s="24"/>
      <c r="F1033" s="24">
        <v>73687</v>
      </c>
      <c r="G1033" s="10">
        <f>G1031+E1033-F1033</f>
        <v>5447148</v>
      </c>
    </row>
    <row r="1034" spans="1:7" x14ac:dyDescent="0.2">
      <c r="A1034" s="21">
        <v>44837</v>
      </c>
      <c r="B1034" s="22"/>
      <c r="C1034" s="32" t="s">
        <v>719</v>
      </c>
      <c r="D1034" s="33" t="s">
        <v>9</v>
      </c>
      <c r="E1034" s="24">
        <v>73687</v>
      </c>
      <c r="F1034" s="24"/>
      <c r="G1034" s="10">
        <f t="shared" si="20"/>
        <v>5520835</v>
      </c>
    </row>
    <row r="1035" spans="1:7" x14ac:dyDescent="0.2">
      <c r="A1035" s="13">
        <v>44837</v>
      </c>
      <c r="C1035" s="2" t="s">
        <v>696</v>
      </c>
      <c r="D1035" s="1" t="s">
        <v>9</v>
      </c>
      <c r="E1035" s="3">
        <v>3522787</v>
      </c>
      <c r="G1035" s="10">
        <f t="shared" si="20"/>
        <v>9043622</v>
      </c>
    </row>
    <row r="1036" spans="1:7" x14ac:dyDescent="0.2">
      <c r="A1036" s="13">
        <v>44837</v>
      </c>
      <c r="C1036" s="2" t="s">
        <v>698</v>
      </c>
      <c r="D1036" s="1" t="s">
        <v>9</v>
      </c>
      <c r="E1036" s="3">
        <v>263680</v>
      </c>
      <c r="G1036" s="10">
        <f t="shared" si="20"/>
        <v>9307302</v>
      </c>
    </row>
    <row r="1037" spans="1:7" x14ac:dyDescent="0.2">
      <c r="A1037" s="13">
        <v>44838</v>
      </c>
      <c r="C1037" s="2" t="s">
        <v>84</v>
      </c>
      <c r="D1037" s="1" t="s">
        <v>9</v>
      </c>
      <c r="F1037" s="3">
        <v>185185</v>
      </c>
      <c r="G1037" s="10">
        <f t="shared" si="20"/>
        <v>9122117</v>
      </c>
    </row>
    <row r="1038" spans="1:7" x14ac:dyDescent="0.2">
      <c r="A1038" s="13">
        <v>44840</v>
      </c>
      <c r="C1038" s="2" t="s">
        <v>35</v>
      </c>
      <c r="D1038" s="1" t="s">
        <v>9</v>
      </c>
      <c r="F1038" s="3">
        <v>6600</v>
      </c>
      <c r="G1038" s="10">
        <f t="shared" si="20"/>
        <v>9115517</v>
      </c>
    </row>
    <row r="1039" spans="1:7" x14ac:dyDescent="0.2">
      <c r="A1039" s="13">
        <v>44840</v>
      </c>
      <c r="C1039" s="2" t="s">
        <v>701</v>
      </c>
      <c r="D1039" s="1" t="s">
        <v>9</v>
      </c>
      <c r="E1039" s="3">
        <v>102808</v>
      </c>
      <c r="G1039" s="10">
        <f t="shared" si="20"/>
        <v>9218325</v>
      </c>
    </row>
    <row r="1040" spans="1:7" x14ac:dyDescent="0.2">
      <c r="A1040" s="13">
        <v>44840</v>
      </c>
      <c r="C1040" s="2" t="s">
        <v>697</v>
      </c>
      <c r="D1040" s="1" t="s">
        <v>9</v>
      </c>
      <c r="F1040" s="3">
        <f>4763173+119375</f>
        <v>4882548</v>
      </c>
      <c r="G1040" s="10">
        <f t="shared" si="20"/>
        <v>4335777</v>
      </c>
    </row>
    <row r="1041" spans="1:7" x14ac:dyDescent="0.2">
      <c r="A1041" s="13">
        <v>44840</v>
      </c>
      <c r="C1041" s="2" t="s">
        <v>699</v>
      </c>
      <c r="D1041" s="1" t="s">
        <v>9</v>
      </c>
      <c r="E1041" s="3">
        <f>207059+51773+233546+356832+600000</f>
        <v>1449210</v>
      </c>
      <c r="G1041" s="10">
        <f t="shared" si="20"/>
        <v>5784987</v>
      </c>
    </row>
    <row r="1042" spans="1:7" x14ac:dyDescent="0.2">
      <c r="A1042" s="13">
        <v>44841</v>
      </c>
      <c r="C1042" s="2" t="s">
        <v>137</v>
      </c>
      <c r="D1042" s="1" t="s">
        <v>9</v>
      </c>
      <c r="E1042" s="3">
        <v>129387</v>
      </c>
      <c r="G1042" s="10">
        <f t="shared" si="20"/>
        <v>5914374</v>
      </c>
    </row>
    <row r="1043" spans="1:7" x14ac:dyDescent="0.2">
      <c r="A1043" s="13">
        <v>44844</v>
      </c>
      <c r="C1043" s="2" t="s">
        <v>603</v>
      </c>
      <c r="D1043" s="1" t="s">
        <v>9</v>
      </c>
      <c r="F1043" s="3">
        <f>137464+275</f>
        <v>137739</v>
      </c>
      <c r="G1043" s="10">
        <f t="shared" si="20"/>
        <v>5776635</v>
      </c>
    </row>
    <row r="1044" spans="1:7" x14ac:dyDescent="0.2">
      <c r="A1044" s="13">
        <v>44844</v>
      </c>
      <c r="C1044" s="2" t="s">
        <v>702</v>
      </c>
      <c r="D1044" s="1" t="s">
        <v>9</v>
      </c>
      <c r="F1044" s="3">
        <f>575000</f>
        <v>575000</v>
      </c>
      <c r="G1044" s="10">
        <f t="shared" si="20"/>
        <v>5201635</v>
      </c>
    </row>
    <row r="1045" spans="1:7" x14ac:dyDescent="0.2">
      <c r="A1045" s="13">
        <v>44844</v>
      </c>
      <c r="C1045" s="2" t="s">
        <v>703</v>
      </c>
      <c r="D1045" s="1" t="s">
        <v>9</v>
      </c>
      <c r="F1045" s="3">
        <f>715670+275</f>
        <v>715945</v>
      </c>
      <c r="G1045" s="10">
        <f t="shared" si="20"/>
        <v>4485690</v>
      </c>
    </row>
    <row r="1046" spans="1:7" x14ac:dyDescent="0.2">
      <c r="A1046" s="13">
        <v>44844</v>
      </c>
      <c r="C1046" s="2" t="s">
        <v>704</v>
      </c>
      <c r="D1046" s="1" t="s">
        <v>9</v>
      </c>
      <c r="F1046" s="3">
        <f>218595+275</f>
        <v>218870</v>
      </c>
      <c r="G1046" s="10">
        <f t="shared" si="20"/>
        <v>4266820</v>
      </c>
    </row>
    <row r="1047" spans="1:7" x14ac:dyDescent="0.2">
      <c r="A1047" s="13">
        <v>44844</v>
      </c>
      <c r="C1047" s="2" t="s">
        <v>705</v>
      </c>
      <c r="D1047" s="1" t="s">
        <v>9</v>
      </c>
      <c r="F1047" s="3">
        <f>33134</f>
        <v>33134</v>
      </c>
      <c r="G1047" s="10">
        <f t="shared" si="20"/>
        <v>4233686</v>
      </c>
    </row>
    <row r="1048" spans="1:7" x14ac:dyDescent="0.2">
      <c r="A1048" s="13">
        <v>44844</v>
      </c>
      <c r="C1048" s="2" t="s">
        <v>706</v>
      </c>
      <c r="D1048" s="1" t="s">
        <v>9</v>
      </c>
      <c r="F1048" s="3">
        <f>750000</f>
        <v>750000</v>
      </c>
      <c r="G1048" s="10">
        <f t="shared" si="20"/>
        <v>3483686</v>
      </c>
    </row>
    <row r="1049" spans="1:7" x14ac:dyDescent="0.2">
      <c r="A1049" s="13">
        <v>44844</v>
      </c>
      <c r="C1049" s="2" t="s">
        <v>707</v>
      </c>
      <c r="D1049" s="1" t="s">
        <v>9</v>
      </c>
      <c r="F1049" s="3">
        <f>204003</f>
        <v>204003</v>
      </c>
      <c r="G1049" s="10">
        <f t="shared" si="20"/>
        <v>3279683</v>
      </c>
    </row>
    <row r="1050" spans="1:7" x14ac:dyDescent="0.2">
      <c r="A1050" s="13">
        <v>44844</v>
      </c>
      <c r="C1050" s="2" t="s">
        <v>708</v>
      </c>
      <c r="D1050" s="1" t="s">
        <v>9</v>
      </c>
      <c r="F1050" s="3">
        <f>946468+275</f>
        <v>946743</v>
      </c>
      <c r="G1050" s="10">
        <f t="shared" si="20"/>
        <v>2332940</v>
      </c>
    </row>
    <row r="1051" spans="1:7" x14ac:dyDescent="0.2">
      <c r="A1051" s="13">
        <v>44844</v>
      </c>
      <c r="B1051" s="1" t="s">
        <v>714</v>
      </c>
      <c r="C1051" s="2" t="s">
        <v>150</v>
      </c>
      <c r="D1051" s="1" t="s">
        <v>9</v>
      </c>
      <c r="F1051" s="3">
        <v>114000</v>
      </c>
      <c r="G1051" s="10">
        <f t="shared" si="20"/>
        <v>2218940</v>
      </c>
    </row>
    <row r="1052" spans="1:7" x14ac:dyDescent="0.2">
      <c r="A1052" s="13">
        <v>44845</v>
      </c>
      <c r="B1052" s="1" t="s">
        <v>712</v>
      </c>
      <c r="C1052" s="2" t="s">
        <v>700</v>
      </c>
      <c r="D1052" s="1" t="s">
        <v>9</v>
      </c>
      <c r="F1052" s="3">
        <v>165000</v>
      </c>
      <c r="G1052" s="10">
        <f t="shared" si="20"/>
        <v>2053940</v>
      </c>
    </row>
    <row r="1053" spans="1:7" x14ac:dyDescent="0.2">
      <c r="A1053" s="13">
        <v>44845</v>
      </c>
      <c r="C1053" s="2" t="s">
        <v>718</v>
      </c>
      <c r="D1053" s="1" t="s">
        <v>9</v>
      </c>
      <c r="E1053" s="3">
        <v>102663</v>
      </c>
      <c r="G1053" s="10">
        <f t="shared" si="20"/>
        <v>2156603</v>
      </c>
    </row>
    <row r="1054" spans="1:7" x14ac:dyDescent="0.2">
      <c r="A1054" s="13">
        <v>44845</v>
      </c>
      <c r="C1054" s="2" t="s">
        <v>116</v>
      </c>
      <c r="D1054" s="1" t="s">
        <v>9</v>
      </c>
      <c r="E1054" s="3">
        <v>1042988</v>
      </c>
      <c r="G1054" s="10">
        <f t="shared" si="20"/>
        <v>3199591</v>
      </c>
    </row>
    <row r="1055" spans="1:7" x14ac:dyDescent="0.2">
      <c r="A1055" s="13">
        <v>44845</v>
      </c>
      <c r="C1055" s="2" t="s">
        <v>505</v>
      </c>
      <c r="D1055" s="1" t="s">
        <v>9</v>
      </c>
      <c r="E1055" s="3">
        <v>339194</v>
      </c>
      <c r="G1055" s="10">
        <f t="shared" si="20"/>
        <v>3538785</v>
      </c>
    </row>
    <row r="1056" spans="1:7" x14ac:dyDescent="0.2">
      <c r="A1056" s="13">
        <v>44846</v>
      </c>
      <c r="B1056" s="1" t="s">
        <v>721</v>
      </c>
      <c r="C1056" s="2" t="s">
        <v>722</v>
      </c>
      <c r="D1056" s="1" t="s">
        <v>9</v>
      </c>
      <c r="G1056" s="10">
        <f t="shared" si="20"/>
        <v>3538785</v>
      </c>
    </row>
    <row r="1057" spans="1:9" x14ac:dyDescent="0.2">
      <c r="A1057" s="13">
        <v>44846</v>
      </c>
      <c r="C1057" s="2" t="s">
        <v>137</v>
      </c>
      <c r="D1057" s="1" t="s">
        <v>9</v>
      </c>
      <c r="E1057" s="3">
        <v>28586</v>
      </c>
      <c r="G1057" s="10">
        <f t="shared" si="20"/>
        <v>3567371</v>
      </c>
    </row>
    <row r="1058" spans="1:9" x14ac:dyDescent="0.2">
      <c r="A1058" s="13">
        <v>44847</v>
      </c>
      <c r="C1058" s="2" t="s">
        <v>715</v>
      </c>
      <c r="D1058" s="1" t="s">
        <v>9</v>
      </c>
      <c r="E1058" s="3">
        <f>175425+233770+1142769+93881+44073</f>
        <v>1689918</v>
      </c>
      <c r="G1058" s="10">
        <f t="shared" si="20"/>
        <v>5257289</v>
      </c>
    </row>
    <row r="1059" spans="1:9" x14ac:dyDescent="0.2">
      <c r="A1059" s="13">
        <v>44847</v>
      </c>
      <c r="C1059" s="2" t="s">
        <v>528</v>
      </c>
      <c r="D1059" s="1" t="s">
        <v>9</v>
      </c>
      <c r="F1059" s="3">
        <v>5000</v>
      </c>
      <c r="G1059" s="10">
        <f t="shared" si="20"/>
        <v>5252289</v>
      </c>
    </row>
    <row r="1060" spans="1:9" x14ac:dyDescent="0.2">
      <c r="A1060" s="13">
        <v>44847</v>
      </c>
      <c r="C1060" s="2" t="s">
        <v>528</v>
      </c>
      <c r="D1060" s="1" t="s">
        <v>9</v>
      </c>
      <c r="F1060" s="3">
        <v>5000</v>
      </c>
      <c r="G1060" s="10">
        <f t="shared" si="20"/>
        <v>5247289</v>
      </c>
    </row>
    <row r="1061" spans="1:9" x14ac:dyDescent="0.2">
      <c r="A1061" s="13">
        <v>44847</v>
      </c>
      <c r="C1061" s="2" t="s">
        <v>528</v>
      </c>
      <c r="D1061" s="1" t="s">
        <v>9</v>
      </c>
      <c r="F1061" s="3">
        <v>5000</v>
      </c>
      <c r="G1061" s="10">
        <f t="shared" si="20"/>
        <v>5242289</v>
      </c>
    </row>
    <row r="1062" spans="1:9" x14ac:dyDescent="0.2">
      <c r="A1062" s="13">
        <v>44848</v>
      </c>
      <c r="C1062" s="2" t="s">
        <v>709</v>
      </c>
      <c r="D1062" s="1" t="s">
        <v>9</v>
      </c>
      <c r="F1062" s="3">
        <v>3442089</v>
      </c>
      <c r="G1062" s="10">
        <f t="shared" si="20"/>
        <v>1800200</v>
      </c>
      <c r="I1062" s="25"/>
    </row>
    <row r="1063" spans="1:9" x14ac:dyDescent="0.2">
      <c r="A1063" s="13">
        <v>44848</v>
      </c>
      <c r="C1063" s="2" t="s">
        <v>710</v>
      </c>
      <c r="D1063" s="1" t="s">
        <v>9</v>
      </c>
      <c r="F1063" s="3">
        <v>13300</v>
      </c>
      <c r="G1063" s="10">
        <f t="shared" si="20"/>
        <v>1786900</v>
      </c>
      <c r="I1063" s="25"/>
    </row>
    <row r="1064" spans="1:9" x14ac:dyDescent="0.2">
      <c r="A1064" s="13">
        <v>44848</v>
      </c>
      <c r="C1064" s="2" t="s">
        <v>711</v>
      </c>
      <c r="D1064" s="1" t="s">
        <v>9</v>
      </c>
      <c r="F1064" s="3">
        <v>79599</v>
      </c>
      <c r="G1064" s="10">
        <f t="shared" si="20"/>
        <v>1707301</v>
      </c>
    </row>
    <row r="1065" spans="1:9" x14ac:dyDescent="0.2">
      <c r="A1065" s="13">
        <v>44848</v>
      </c>
      <c r="C1065" s="2" t="s">
        <v>717</v>
      </c>
      <c r="D1065" s="1" t="s">
        <v>9</v>
      </c>
      <c r="E1065" s="3">
        <f>114342+372408+533124</f>
        <v>1019874</v>
      </c>
      <c r="G1065" s="10">
        <f t="shared" si="20"/>
        <v>2727175</v>
      </c>
    </row>
    <row r="1066" spans="1:9" x14ac:dyDescent="0.2">
      <c r="A1066" s="13">
        <v>44848</v>
      </c>
      <c r="C1066" s="2" t="s">
        <v>35</v>
      </c>
      <c r="D1066" s="1" t="s">
        <v>9</v>
      </c>
      <c r="F1066" s="3">
        <v>6600</v>
      </c>
      <c r="G1066" s="10">
        <f t="shared" si="20"/>
        <v>2720575</v>
      </c>
    </row>
    <row r="1067" spans="1:9" x14ac:dyDescent="0.2">
      <c r="A1067" s="13">
        <v>44848</v>
      </c>
      <c r="C1067" s="2" t="s">
        <v>35</v>
      </c>
      <c r="D1067" s="1" t="s">
        <v>9</v>
      </c>
      <c r="F1067" s="3">
        <v>6600</v>
      </c>
      <c r="G1067" s="10">
        <f t="shared" si="20"/>
        <v>2713975</v>
      </c>
    </row>
    <row r="1068" spans="1:9" x14ac:dyDescent="0.2">
      <c r="A1068" s="13">
        <v>44848</v>
      </c>
      <c r="C1068" s="2" t="s">
        <v>716</v>
      </c>
      <c r="D1068" s="1" t="s">
        <v>9</v>
      </c>
      <c r="E1068" s="3">
        <v>2296498</v>
      </c>
      <c r="G1068" s="10">
        <f t="shared" si="20"/>
        <v>5010473</v>
      </c>
    </row>
    <row r="1069" spans="1:9" x14ac:dyDescent="0.2">
      <c r="A1069" s="13">
        <v>44852</v>
      </c>
      <c r="C1069" s="2" t="s">
        <v>720</v>
      </c>
      <c r="D1069" s="1" t="s">
        <v>9</v>
      </c>
      <c r="E1069" s="3">
        <f>748498+1258910</f>
        <v>2007408</v>
      </c>
      <c r="G1069" s="10">
        <f t="shared" si="20"/>
        <v>7017881</v>
      </c>
    </row>
    <row r="1070" spans="1:9" x14ac:dyDescent="0.2">
      <c r="A1070" s="13">
        <v>44852</v>
      </c>
      <c r="B1070" s="1" t="s">
        <v>713</v>
      </c>
      <c r="C1070" s="2" t="s">
        <v>724</v>
      </c>
      <c r="D1070" s="1" t="s">
        <v>9</v>
      </c>
      <c r="F1070" s="3">
        <v>600000</v>
      </c>
      <c r="G1070" s="10">
        <f t="shared" si="20"/>
        <v>6417881</v>
      </c>
    </row>
    <row r="1071" spans="1:9" x14ac:dyDescent="0.2">
      <c r="A1071" s="13">
        <v>44852</v>
      </c>
      <c r="B1071" s="1" t="s">
        <v>723</v>
      </c>
      <c r="C1071" s="2" t="s">
        <v>726</v>
      </c>
      <c r="D1071" s="1" t="s">
        <v>9</v>
      </c>
      <c r="F1071" s="3">
        <v>1504205</v>
      </c>
      <c r="G1071" s="10">
        <f t="shared" si="20"/>
        <v>4913676</v>
      </c>
    </row>
    <row r="1072" spans="1:9" x14ac:dyDescent="0.2">
      <c r="A1072" s="13">
        <v>44852</v>
      </c>
      <c r="B1072" s="26" t="s">
        <v>734</v>
      </c>
      <c r="C1072" s="19" t="s">
        <v>733</v>
      </c>
      <c r="D1072" s="26" t="s">
        <v>9</v>
      </c>
      <c r="F1072" s="3">
        <v>670000</v>
      </c>
      <c r="G1072" s="10">
        <f t="shared" si="20"/>
        <v>4243676</v>
      </c>
    </row>
    <row r="1073" spans="1:9" x14ac:dyDescent="0.2">
      <c r="A1073" s="13">
        <v>44853</v>
      </c>
      <c r="C1073" s="2" t="s">
        <v>727</v>
      </c>
      <c r="D1073" s="1" t="s">
        <v>9</v>
      </c>
      <c r="E1073" s="3">
        <f>483750+375504</f>
        <v>859254</v>
      </c>
      <c r="G1073" s="10">
        <f t="shared" si="20"/>
        <v>5102930</v>
      </c>
    </row>
    <row r="1074" spans="1:9" x14ac:dyDescent="0.2">
      <c r="A1074" s="13">
        <v>44853</v>
      </c>
      <c r="C1074" s="2" t="s">
        <v>728</v>
      </c>
      <c r="D1074" s="1" t="s">
        <v>9</v>
      </c>
      <c r="F1074" s="3">
        <f>3006723+84684</f>
        <v>3091407</v>
      </c>
      <c r="G1074" s="10">
        <f t="shared" ref="G1074:G1085" si="21">G1073+E1074-F1074</f>
        <v>2011523</v>
      </c>
    </row>
    <row r="1075" spans="1:9" x14ac:dyDescent="0.2">
      <c r="A1075" s="13">
        <v>44853</v>
      </c>
      <c r="C1075" s="2" t="s">
        <v>555</v>
      </c>
      <c r="D1075" s="1" t="s">
        <v>9</v>
      </c>
      <c r="E1075" s="3">
        <v>238832</v>
      </c>
      <c r="G1075" s="10">
        <f t="shared" si="21"/>
        <v>2250355</v>
      </c>
    </row>
    <row r="1076" spans="1:9" x14ac:dyDescent="0.2">
      <c r="A1076" s="13">
        <v>44853</v>
      </c>
      <c r="C1076" s="2" t="s">
        <v>61</v>
      </c>
      <c r="D1076" s="1" t="s">
        <v>9</v>
      </c>
      <c r="E1076" s="3">
        <v>1318142</v>
      </c>
      <c r="G1076" s="10">
        <f t="shared" si="21"/>
        <v>3568497</v>
      </c>
    </row>
    <row r="1077" spans="1:9" x14ac:dyDescent="0.2">
      <c r="A1077" s="13">
        <v>44858</v>
      </c>
      <c r="C1077" s="2" t="s">
        <v>729</v>
      </c>
      <c r="D1077" s="1" t="s">
        <v>9</v>
      </c>
      <c r="E1077" s="3">
        <f>1952059+62870+30680+190522+1325848</f>
        <v>3561979</v>
      </c>
      <c r="G1077" s="10">
        <f t="shared" si="21"/>
        <v>7130476</v>
      </c>
    </row>
    <row r="1078" spans="1:9" x14ac:dyDescent="0.2">
      <c r="A1078" s="13">
        <v>44858</v>
      </c>
      <c r="C1078" s="2" t="s">
        <v>730</v>
      </c>
      <c r="D1078" s="1" t="s">
        <v>9</v>
      </c>
      <c r="E1078" s="3">
        <v>1192803</v>
      </c>
      <c r="G1078" s="10">
        <f t="shared" si="21"/>
        <v>8323279</v>
      </c>
      <c r="I1078" s="25"/>
    </row>
    <row r="1079" spans="1:9" x14ac:dyDescent="0.2">
      <c r="A1079" s="13">
        <v>44860</v>
      </c>
      <c r="C1079" s="2" t="s">
        <v>731</v>
      </c>
      <c r="D1079" s="1" t="s">
        <v>9</v>
      </c>
      <c r="F1079" s="3">
        <f>6849257</f>
        <v>6849257</v>
      </c>
      <c r="G1079" s="10">
        <f t="shared" si="21"/>
        <v>1474022</v>
      </c>
      <c r="I1079" s="25"/>
    </row>
    <row r="1080" spans="1:9" x14ac:dyDescent="0.2">
      <c r="A1080" s="13">
        <v>44860</v>
      </c>
      <c r="C1080" s="2" t="s">
        <v>732</v>
      </c>
      <c r="D1080" s="1" t="s">
        <v>9</v>
      </c>
      <c r="E1080" s="3">
        <f>734550+106731+281218+2236690+120110+1311509+3510500</f>
        <v>8301308</v>
      </c>
      <c r="G1080" s="10">
        <f t="shared" si="21"/>
        <v>9775330</v>
      </c>
    </row>
    <row r="1081" spans="1:9" x14ac:dyDescent="0.2">
      <c r="A1081" s="13">
        <v>44865</v>
      </c>
      <c r="C1081" s="2" t="s">
        <v>735</v>
      </c>
      <c r="D1081" s="1" t="s">
        <v>9</v>
      </c>
      <c r="F1081" s="3">
        <v>2914209</v>
      </c>
      <c r="G1081" s="10">
        <f t="shared" si="21"/>
        <v>6861121</v>
      </c>
    </row>
    <row r="1082" spans="1:9" x14ac:dyDescent="0.2">
      <c r="A1082" s="13">
        <v>44865</v>
      </c>
      <c r="C1082" s="2" t="s">
        <v>34</v>
      </c>
      <c r="D1082" s="1" t="s">
        <v>9</v>
      </c>
      <c r="F1082" s="3">
        <v>825</v>
      </c>
      <c r="G1082" s="10">
        <f t="shared" si="21"/>
        <v>6860296</v>
      </c>
    </row>
    <row r="1083" spans="1:9" x14ac:dyDescent="0.2">
      <c r="A1083" s="13">
        <v>44865</v>
      </c>
      <c r="C1083" s="2" t="s">
        <v>737</v>
      </c>
      <c r="D1083" s="1" t="s">
        <v>9</v>
      </c>
      <c r="F1083" s="3">
        <v>59461</v>
      </c>
      <c r="G1083" s="10">
        <f t="shared" si="21"/>
        <v>6800835</v>
      </c>
      <c r="I1083" s="31"/>
    </row>
    <row r="1084" spans="1:9" x14ac:dyDescent="0.2">
      <c r="A1084" s="21">
        <v>44865</v>
      </c>
      <c r="B1084" s="22"/>
      <c r="C1084" s="23" t="s">
        <v>695</v>
      </c>
      <c r="D1084" s="22" t="s">
        <v>9</v>
      </c>
      <c r="E1084" s="24"/>
      <c r="F1084" s="24">
        <v>73687</v>
      </c>
      <c r="G1084" s="10">
        <f t="shared" si="21"/>
        <v>6727148</v>
      </c>
    </row>
    <row r="1085" spans="1:9" x14ac:dyDescent="0.2">
      <c r="A1085" s="13">
        <v>44865</v>
      </c>
      <c r="C1085" s="2" t="s">
        <v>498</v>
      </c>
      <c r="D1085" s="1" t="s">
        <v>9</v>
      </c>
      <c r="E1085" s="3">
        <v>470142</v>
      </c>
      <c r="G1085" s="25">
        <f t="shared" si="21"/>
        <v>7197290</v>
      </c>
    </row>
    <row r="1086" spans="1:9" ht="15.75" x14ac:dyDescent="0.25">
      <c r="A1086" s="11" t="s">
        <v>767</v>
      </c>
      <c r="G1086" s="9"/>
    </row>
    <row r="1087" spans="1:9" x14ac:dyDescent="0.2">
      <c r="A1087" s="12" t="s">
        <v>2</v>
      </c>
      <c r="B1087" s="5" t="s">
        <v>1</v>
      </c>
      <c r="C1087" s="5" t="s">
        <v>3</v>
      </c>
      <c r="D1087" s="5"/>
      <c r="E1087" s="8" t="s">
        <v>4</v>
      </c>
      <c r="F1087" s="8" t="s">
        <v>6</v>
      </c>
      <c r="G1087" s="9" t="s">
        <v>5</v>
      </c>
    </row>
    <row r="1088" spans="1:9" x14ac:dyDescent="0.2">
      <c r="A1088" s="13">
        <v>44866</v>
      </c>
      <c r="C1088" s="2" t="s">
        <v>736</v>
      </c>
      <c r="D1088" s="1" t="s">
        <v>9</v>
      </c>
      <c r="E1088" s="3">
        <f>217535+63838+232696+14844</f>
        <v>528913</v>
      </c>
      <c r="G1088" s="10">
        <f>G1085+E1088-F1088</f>
        <v>7726203</v>
      </c>
    </row>
    <row r="1089" spans="1:7" x14ac:dyDescent="0.2">
      <c r="A1089" s="13">
        <v>44867</v>
      </c>
      <c r="C1089" s="2" t="s">
        <v>738</v>
      </c>
      <c r="D1089" s="1" t="s">
        <v>9</v>
      </c>
      <c r="E1089" s="3">
        <f>1558797+424800+63650</f>
        <v>2047247</v>
      </c>
      <c r="G1089" s="10">
        <f>G1088+E1089-F1089</f>
        <v>9773450</v>
      </c>
    </row>
    <row r="1090" spans="1:7" x14ac:dyDescent="0.2">
      <c r="A1090" s="13">
        <v>44868</v>
      </c>
      <c r="B1090" s="26" t="s">
        <v>739</v>
      </c>
      <c r="C1090" s="2" t="s">
        <v>154</v>
      </c>
      <c r="D1090" s="1" t="s">
        <v>9</v>
      </c>
      <c r="F1090" s="3">
        <v>266615</v>
      </c>
      <c r="G1090" s="10">
        <f t="shared" ref="G1090:G1143" si="22">G1089+E1090-F1090</f>
        <v>9506835</v>
      </c>
    </row>
    <row r="1091" spans="1:7" x14ac:dyDescent="0.2">
      <c r="A1091" s="13">
        <v>44868</v>
      </c>
      <c r="C1091" s="2" t="s">
        <v>740</v>
      </c>
      <c r="D1091" s="1" t="s">
        <v>9</v>
      </c>
      <c r="E1091" s="3">
        <f>205698+71366+10266+510326+1583331+360476</f>
        <v>2741463</v>
      </c>
      <c r="G1091" s="10">
        <f t="shared" si="22"/>
        <v>12248298</v>
      </c>
    </row>
    <row r="1092" spans="1:7" x14ac:dyDescent="0.2">
      <c r="A1092" s="13">
        <v>44868</v>
      </c>
      <c r="B1092" s="1" t="s">
        <v>741</v>
      </c>
      <c r="C1092" s="2" t="s">
        <v>743</v>
      </c>
      <c r="D1092" s="1" t="s">
        <v>9</v>
      </c>
      <c r="F1092" s="3">
        <v>375000</v>
      </c>
      <c r="G1092" s="10">
        <f t="shared" si="22"/>
        <v>11873298</v>
      </c>
    </row>
    <row r="1093" spans="1:7" x14ac:dyDescent="0.2">
      <c r="A1093" s="13">
        <v>44868</v>
      </c>
      <c r="B1093" s="1" t="s">
        <v>742</v>
      </c>
      <c r="C1093" s="2" t="s">
        <v>744</v>
      </c>
      <c r="D1093" s="1" t="s">
        <v>9</v>
      </c>
      <c r="F1093" s="3">
        <v>228000</v>
      </c>
      <c r="G1093" s="10">
        <f t="shared" si="22"/>
        <v>11645298</v>
      </c>
    </row>
    <row r="1094" spans="1:7" x14ac:dyDescent="0.2">
      <c r="A1094" s="13">
        <v>44869</v>
      </c>
      <c r="C1094" s="2" t="s">
        <v>745</v>
      </c>
      <c r="D1094" s="1" t="s">
        <v>9</v>
      </c>
      <c r="F1094" s="3">
        <f>6898201+161540</f>
        <v>7059741</v>
      </c>
      <c r="G1094" s="10">
        <f t="shared" si="22"/>
        <v>4585557</v>
      </c>
    </row>
    <row r="1095" spans="1:7" x14ac:dyDescent="0.2">
      <c r="A1095" s="13">
        <v>44869</v>
      </c>
      <c r="C1095" s="2" t="s">
        <v>84</v>
      </c>
      <c r="D1095" s="1" t="s">
        <v>9</v>
      </c>
      <c r="F1095" s="3">
        <v>185185</v>
      </c>
      <c r="G1095" s="10">
        <f t="shared" si="22"/>
        <v>4400372</v>
      </c>
    </row>
    <row r="1096" spans="1:7" x14ac:dyDescent="0.2">
      <c r="A1096" s="13">
        <v>44869</v>
      </c>
      <c r="C1096" s="2" t="s">
        <v>258</v>
      </c>
      <c r="D1096" s="1" t="s">
        <v>9</v>
      </c>
      <c r="E1096" s="3">
        <v>51000</v>
      </c>
      <c r="G1096" s="10">
        <f t="shared" si="22"/>
        <v>4451372</v>
      </c>
    </row>
    <row r="1097" spans="1:7" x14ac:dyDescent="0.2">
      <c r="A1097" s="13">
        <v>44869</v>
      </c>
      <c r="C1097" s="2" t="s">
        <v>753</v>
      </c>
      <c r="D1097" s="1" t="s">
        <v>9</v>
      </c>
      <c r="F1097" s="3">
        <f>217535</f>
        <v>217535</v>
      </c>
      <c r="G1097" s="10">
        <f t="shared" si="22"/>
        <v>4233837</v>
      </c>
    </row>
    <row r="1098" spans="1:7" x14ac:dyDescent="0.2">
      <c r="A1098" s="13">
        <v>44869</v>
      </c>
      <c r="C1098" s="2" t="s">
        <v>751</v>
      </c>
      <c r="D1098" s="1" t="s">
        <v>9</v>
      </c>
      <c r="F1098" s="3">
        <v>6600</v>
      </c>
      <c r="G1098" s="10">
        <f t="shared" si="22"/>
        <v>4227237</v>
      </c>
    </row>
    <row r="1099" spans="1:7" x14ac:dyDescent="0.2">
      <c r="A1099" s="13">
        <v>44872</v>
      </c>
      <c r="C1099" s="2" t="s">
        <v>752</v>
      </c>
      <c r="D1099" s="1" t="s">
        <v>9</v>
      </c>
      <c r="F1099" s="3">
        <f>1558797</f>
        <v>1558797</v>
      </c>
      <c r="G1099" s="10">
        <f t="shared" si="22"/>
        <v>2668440</v>
      </c>
    </row>
    <row r="1100" spans="1:7" x14ac:dyDescent="0.2">
      <c r="A1100" s="13">
        <v>44872</v>
      </c>
      <c r="C1100" s="2" t="s">
        <v>750</v>
      </c>
      <c r="D1100" s="1" t="s">
        <v>9</v>
      </c>
      <c r="F1100" s="3">
        <v>6600</v>
      </c>
      <c r="G1100" s="10">
        <f t="shared" si="22"/>
        <v>2661840</v>
      </c>
    </row>
    <row r="1101" spans="1:7" x14ac:dyDescent="0.2">
      <c r="A1101" s="13">
        <v>44873</v>
      </c>
      <c r="C1101" s="2" t="s">
        <v>755</v>
      </c>
      <c r="D1101" s="1" t="s">
        <v>9</v>
      </c>
      <c r="E1101" s="3">
        <f>852012+44505+327450</f>
        <v>1223967</v>
      </c>
      <c r="G1101" s="10">
        <f t="shared" si="22"/>
        <v>3885807</v>
      </c>
    </row>
    <row r="1102" spans="1:7" x14ac:dyDescent="0.2">
      <c r="A1102" s="13">
        <v>44873</v>
      </c>
      <c r="C1102" s="2" t="s">
        <v>756</v>
      </c>
      <c r="D1102" s="1" t="s">
        <v>9</v>
      </c>
      <c r="E1102" s="3">
        <v>1299652</v>
      </c>
      <c r="G1102" s="10">
        <f t="shared" si="22"/>
        <v>5185459</v>
      </c>
    </row>
    <row r="1103" spans="1:7" x14ac:dyDescent="0.2">
      <c r="A1103" s="13">
        <v>44873</v>
      </c>
      <c r="C1103" s="2" t="s">
        <v>137</v>
      </c>
      <c r="D1103" s="1" t="s">
        <v>9</v>
      </c>
      <c r="E1103" s="3">
        <v>482343</v>
      </c>
      <c r="G1103" s="10">
        <f t="shared" si="22"/>
        <v>5667802</v>
      </c>
    </row>
    <row r="1104" spans="1:7" x14ac:dyDescent="0.2">
      <c r="A1104" s="13">
        <v>44873</v>
      </c>
      <c r="C1104" s="2" t="s">
        <v>440</v>
      </c>
      <c r="D1104" s="1" t="s">
        <v>9</v>
      </c>
      <c r="E1104" s="3">
        <v>31639</v>
      </c>
      <c r="G1104" s="10">
        <f t="shared" si="22"/>
        <v>5699441</v>
      </c>
    </row>
    <row r="1105" spans="1:7" x14ac:dyDescent="0.2">
      <c r="A1105" s="13">
        <v>44873</v>
      </c>
      <c r="C1105" s="2" t="s">
        <v>505</v>
      </c>
      <c r="D1105" s="1" t="s">
        <v>9</v>
      </c>
      <c r="E1105" s="3">
        <v>156600</v>
      </c>
      <c r="G1105" s="10">
        <f t="shared" si="22"/>
        <v>5856041</v>
      </c>
    </row>
    <row r="1106" spans="1:7" x14ac:dyDescent="0.2">
      <c r="A1106" s="13">
        <v>44875</v>
      </c>
      <c r="C1106" s="2" t="s">
        <v>603</v>
      </c>
      <c r="D1106" s="1" t="s">
        <v>9</v>
      </c>
      <c r="F1106" s="3">
        <f>137466+275</f>
        <v>137741</v>
      </c>
      <c r="G1106" s="10">
        <f t="shared" si="22"/>
        <v>5718300</v>
      </c>
    </row>
    <row r="1107" spans="1:7" x14ac:dyDescent="0.2">
      <c r="A1107" s="13">
        <v>44875</v>
      </c>
      <c r="C1107" s="2" t="s">
        <v>746</v>
      </c>
      <c r="D1107" s="1" t="s">
        <v>9</v>
      </c>
      <c r="F1107" s="3">
        <f>542800+275</f>
        <v>543075</v>
      </c>
      <c r="G1107" s="10">
        <f t="shared" si="22"/>
        <v>5175225</v>
      </c>
    </row>
    <row r="1108" spans="1:7" x14ac:dyDescent="0.2">
      <c r="A1108" s="13">
        <v>44875</v>
      </c>
      <c r="C1108" s="2" t="s">
        <v>747</v>
      </c>
      <c r="D1108" s="1" t="s">
        <v>9</v>
      </c>
      <c r="F1108" s="3">
        <f>319549+275</f>
        <v>319824</v>
      </c>
      <c r="G1108" s="10">
        <f t="shared" si="22"/>
        <v>4855401</v>
      </c>
    </row>
    <row r="1109" spans="1:7" x14ac:dyDescent="0.2">
      <c r="A1109" s="13">
        <v>44875</v>
      </c>
      <c r="C1109" s="2" t="s">
        <v>748</v>
      </c>
      <c r="D1109" s="1" t="s">
        <v>9</v>
      </c>
      <c r="F1109" s="3">
        <f>1299278+275</f>
        <v>1299553</v>
      </c>
      <c r="G1109" s="10">
        <f t="shared" si="22"/>
        <v>3555848</v>
      </c>
    </row>
    <row r="1110" spans="1:7" x14ac:dyDescent="0.2">
      <c r="A1110" s="13">
        <v>44875</v>
      </c>
      <c r="C1110" s="2" t="s">
        <v>706</v>
      </c>
      <c r="D1110" s="1" t="s">
        <v>9</v>
      </c>
      <c r="F1110" s="3">
        <f>750000</f>
        <v>750000</v>
      </c>
      <c r="G1110" s="10">
        <f t="shared" si="22"/>
        <v>2805848</v>
      </c>
    </row>
    <row r="1111" spans="1:7" x14ac:dyDescent="0.2">
      <c r="A1111" s="13">
        <v>44875</v>
      </c>
      <c r="C1111" s="2" t="s">
        <v>749</v>
      </c>
      <c r="D1111" s="1" t="s">
        <v>9</v>
      </c>
      <c r="F1111" s="3">
        <f>170000</f>
        <v>170000</v>
      </c>
      <c r="G1111" s="10">
        <f t="shared" si="22"/>
        <v>2635848</v>
      </c>
    </row>
    <row r="1112" spans="1:7" x14ac:dyDescent="0.2">
      <c r="A1112" s="13">
        <v>44875</v>
      </c>
      <c r="B1112" s="1" t="s">
        <v>757</v>
      </c>
      <c r="C1112" s="2" t="s">
        <v>754</v>
      </c>
      <c r="D1112" s="1" t="s">
        <v>9</v>
      </c>
      <c r="F1112" s="3">
        <v>480800</v>
      </c>
      <c r="G1112" s="10">
        <f t="shared" si="22"/>
        <v>2155048</v>
      </c>
    </row>
    <row r="1113" spans="1:7" x14ac:dyDescent="0.2">
      <c r="A1113" s="13">
        <v>44875</v>
      </c>
      <c r="B1113" s="1" t="s">
        <v>758</v>
      </c>
      <c r="C1113" s="2" t="s">
        <v>700</v>
      </c>
      <c r="D1113" s="1" t="s">
        <v>9</v>
      </c>
      <c r="F1113" s="3">
        <v>165000</v>
      </c>
      <c r="G1113" s="10">
        <f t="shared" si="22"/>
        <v>1990048</v>
      </c>
    </row>
    <row r="1114" spans="1:7" x14ac:dyDescent="0.2">
      <c r="A1114" s="13">
        <v>44875</v>
      </c>
      <c r="C1114" s="2" t="s">
        <v>759</v>
      </c>
      <c r="D1114" s="1" t="s">
        <v>9</v>
      </c>
      <c r="E1114" s="3">
        <f>738059+21712+16520</f>
        <v>776291</v>
      </c>
      <c r="G1114" s="10">
        <f t="shared" si="22"/>
        <v>2766339</v>
      </c>
    </row>
    <row r="1115" spans="1:7" x14ac:dyDescent="0.2">
      <c r="A1115" s="13">
        <v>44875</v>
      </c>
      <c r="C1115" s="2" t="s">
        <v>105</v>
      </c>
      <c r="D1115" s="1" t="s">
        <v>9</v>
      </c>
      <c r="E1115" s="3">
        <v>1558797</v>
      </c>
      <c r="G1115" s="10">
        <f t="shared" si="22"/>
        <v>4325136</v>
      </c>
    </row>
    <row r="1116" spans="1:7" x14ac:dyDescent="0.2">
      <c r="A1116" s="13">
        <v>44875</v>
      </c>
      <c r="C1116" s="2" t="s">
        <v>696</v>
      </c>
      <c r="D1116" s="1" t="s">
        <v>9</v>
      </c>
      <c r="E1116" s="3">
        <v>870403</v>
      </c>
      <c r="G1116" s="10">
        <f t="shared" si="22"/>
        <v>5195539</v>
      </c>
    </row>
    <row r="1117" spans="1:7" x14ac:dyDescent="0.2">
      <c r="A1117" s="13">
        <v>44876</v>
      </c>
      <c r="C1117" s="2" t="s">
        <v>258</v>
      </c>
      <c r="D1117" s="1" t="s">
        <v>9</v>
      </c>
      <c r="E1117" s="3">
        <v>68646</v>
      </c>
      <c r="G1117" s="10">
        <f t="shared" si="22"/>
        <v>5264185</v>
      </c>
    </row>
    <row r="1118" spans="1:7" x14ac:dyDescent="0.2">
      <c r="A1118" s="13">
        <v>44876</v>
      </c>
      <c r="C1118" s="2" t="s">
        <v>35</v>
      </c>
      <c r="D1118" s="1" t="s">
        <v>9</v>
      </c>
      <c r="F1118" s="3">
        <v>6600</v>
      </c>
      <c r="G1118" s="10">
        <f t="shared" si="22"/>
        <v>5257585</v>
      </c>
    </row>
    <row r="1119" spans="1:7" x14ac:dyDescent="0.2">
      <c r="A1119" s="13">
        <v>44876</v>
      </c>
      <c r="C1119" s="2" t="s">
        <v>701</v>
      </c>
      <c r="D1119" s="1" t="s">
        <v>9</v>
      </c>
      <c r="E1119" s="3">
        <v>291372</v>
      </c>
      <c r="G1119" s="10">
        <f t="shared" si="22"/>
        <v>5548957</v>
      </c>
    </row>
    <row r="1120" spans="1:7" x14ac:dyDescent="0.2">
      <c r="A1120" s="13">
        <v>44879</v>
      </c>
      <c r="C1120" s="2" t="s">
        <v>760</v>
      </c>
      <c r="D1120" s="1" t="s">
        <v>9</v>
      </c>
      <c r="E1120" s="3">
        <f>291382+364490+211609</f>
        <v>867481</v>
      </c>
      <c r="G1120" s="10">
        <f t="shared" si="22"/>
        <v>6416438</v>
      </c>
    </row>
    <row r="1121" spans="1:9" x14ac:dyDescent="0.2">
      <c r="A1121" s="13">
        <v>44879</v>
      </c>
      <c r="C1121" s="2" t="s">
        <v>761</v>
      </c>
      <c r="D1121" s="1" t="s">
        <v>9</v>
      </c>
      <c r="E1121" s="3">
        <v>224135</v>
      </c>
      <c r="G1121" s="10">
        <f t="shared" si="22"/>
        <v>6640573</v>
      </c>
    </row>
    <row r="1122" spans="1:9" x14ac:dyDescent="0.2">
      <c r="A1122" s="13">
        <v>44879</v>
      </c>
      <c r="C1122" s="2" t="s">
        <v>137</v>
      </c>
      <c r="D1122" s="1" t="s">
        <v>9</v>
      </c>
      <c r="E1122" s="3">
        <v>428281</v>
      </c>
      <c r="G1122" s="10">
        <f t="shared" si="22"/>
        <v>7068854</v>
      </c>
    </row>
    <row r="1123" spans="1:9" x14ac:dyDescent="0.2">
      <c r="A1123" s="14">
        <v>44879</v>
      </c>
      <c r="B1123" s="15"/>
      <c r="C1123" s="16" t="s">
        <v>667</v>
      </c>
      <c r="D1123" s="15" t="s">
        <v>9</v>
      </c>
      <c r="E1123" s="17"/>
      <c r="F1123" s="17">
        <v>4400</v>
      </c>
      <c r="G1123" s="10">
        <f t="shared" si="22"/>
        <v>7064454</v>
      </c>
    </row>
    <row r="1124" spans="1:9" x14ac:dyDescent="0.2">
      <c r="A1124" s="13">
        <v>44881</v>
      </c>
      <c r="C1124" s="2" t="s">
        <v>505</v>
      </c>
      <c r="D1124" s="1" t="s">
        <v>9</v>
      </c>
      <c r="E1124" s="3">
        <v>213890</v>
      </c>
      <c r="G1124" s="10">
        <f t="shared" si="22"/>
        <v>7278344</v>
      </c>
    </row>
    <row r="1125" spans="1:9" x14ac:dyDescent="0.2">
      <c r="A1125" s="13">
        <v>44882</v>
      </c>
      <c r="C1125" s="2" t="s">
        <v>762</v>
      </c>
      <c r="D1125" s="1" t="s">
        <v>9</v>
      </c>
      <c r="F1125" s="3">
        <v>2961646</v>
      </c>
      <c r="G1125" s="10">
        <f t="shared" si="22"/>
        <v>4316698</v>
      </c>
    </row>
    <row r="1126" spans="1:9" x14ac:dyDescent="0.2">
      <c r="A1126" s="13">
        <v>44882</v>
      </c>
      <c r="C1126" s="2" t="s">
        <v>497</v>
      </c>
      <c r="D1126" s="1" t="s">
        <v>9</v>
      </c>
      <c r="E1126" s="3">
        <v>76110</v>
      </c>
      <c r="G1126" s="10">
        <f t="shared" si="22"/>
        <v>4392808</v>
      </c>
    </row>
    <row r="1127" spans="1:9" x14ac:dyDescent="0.2">
      <c r="A1127" s="13">
        <v>44882</v>
      </c>
      <c r="C1127" s="2" t="s">
        <v>35</v>
      </c>
      <c r="D1127" s="1" t="s">
        <v>9</v>
      </c>
      <c r="F1127" s="3">
        <v>6600</v>
      </c>
      <c r="G1127" s="10">
        <f t="shared" si="22"/>
        <v>4386208</v>
      </c>
    </row>
    <row r="1128" spans="1:9" x14ac:dyDescent="0.2">
      <c r="A1128" s="13">
        <v>44883</v>
      </c>
      <c r="C1128" s="2" t="s">
        <v>137</v>
      </c>
      <c r="D1128" s="1" t="s">
        <v>9</v>
      </c>
      <c r="E1128" s="3">
        <v>468401</v>
      </c>
      <c r="G1128" s="10">
        <f t="shared" si="22"/>
        <v>4854609</v>
      </c>
    </row>
    <row r="1129" spans="1:9" x14ac:dyDescent="0.2">
      <c r="A1129" s="13">
        <v>44883</v>
      </c>
      <c r="C1129" s="2" t="s">
        <v>763</v>
      </c>
      <c r="D1129" s="1" t="s">
        <v>9</v>
      </c>
      <c r="E1129" s="3">
        <f>555039+40120+128714+140420+159477+19352+77408+40781+87320</f>
        <v>1248631</v>
      </c>
      <c r="G1129" s="10">
        <f t="shared" si="22"/>
        <v>6103240</v>
      </c>
    </row>
    <row r="1130" spans="1:9" x14ac:dyDescent="0.2">
      <c r="A1130" s="13">
        <v>44886</v>
      </c>
      <c r="C1130" s="2" t="s">
        <v>764</v>
      </c>
      <c r="D1130" s="1" t="s">
        <v>9</v>
      </c>
      <c r="F1130" s="3">
        <f>1891023</f>
        <v>1891023</v>
      </c>
      <c r="G1130" s="10">
        <f t="shared" si="22"/>
        <v>4212217</v>
      </c>
    </row>
    <row r="1131" spans="1:9" x14ac:dyDescent="0.2">
      <c r="A1131" s="13">
        <v>44887</v>
      </c>
      <c r="C1131" s="2" t="s">
        <v>765</v>
      </c>
      <c r="D1131" s="1" t="s">
        <v>9</v>
      </c>
      <c r="F1131" s="3">
        <f>2121448</f>
        <v>2121448</v>
      </c>
      <c r="G1131" s="10">
        <f t="shared" si="22"/>
        <v>2090769</v>
      </c>
    </row>
    <row r="1132" spans="1:9" x14ac:dyDescent="0.2">
      <c r="A1132" s="21">
        <v>44887</v>
      </c>
      <c r="B1132" s="22" t="s">
        <v>766</v>
      </c>
      <c r="C1132" s="23" t="s">
        <v>724</v>
      </c>
      <c r="D1132" s="22" t="s">
        <v>9</v>
      </c>
      <c r="E1132" s="24"/>
      <c r="F1132" s="24">
        <v>600000</v>
      </c>
      <c r="G1132" s="10">
        <f t="shared" si="22"/>
        <v>1490769</v>
      </c>
    </row>
    <row r="1133" spans="1:9" x14ac:dyDescent="0.2">
      <c r="A1133" s="13">
        <v>44887</v>
      </c>
      <c r="C1133" s="2" t="s">
        <v>137</v>
      </c>
      <c r="D1133" s="1" t="s">
        <v>9</v>
      </c>
      <c r="E1133" s="3">
        <v>116750</v>
      </c>
      <c r="G1133" s="10">
        <f t="shared" si="22"/>
        <v>1607519</v>
      </c>
    </row>
    <row r="1134" spans="1:9" x14ac:dyDescent="0.2">
      <c r="A1134" s="21">
        <v>44887</v>
      </c>
      <c r="B1134" s="22"/>
      <c r="C1134" s="23" t="s">
        <v>770</v>
      </c>
      <c r="D1134" s="22" t="s">
        <v>9</v>
      </c>
      <c r="E1134" s="24">
        <f>256168+13541+539380+84252+334742+30000</f>
        <v>1258083</v>
      </c>
      <c r="F1134" s="24"/>
      <c r="G1134" s="10">
        <f t="shared" si="22"/>
        <v>2865602</v>
      </c>
    </row>
    <row r="1135" spans="1:9" x14ac:dyDescent="0.2">
      <c r="A1135" s="13">
        <v>44887</v>
      </c>
      <c r="C1135" s="2" t="s">
        <v>555</v>
      </c>
      <c r="D1135" s="1" t="s">
        <v>9</v>
      </c>
      <c r="E1135" s="3">
        <v>33984</v>
      </c>
      <c r="G1135" s="10">
        <f t="shared" si="22"/>
        <v>2899586</v>
      </c>
      <c r="I1135" s="25"/>
    </row>
    <row r="1136" spans="1:9" x14ac:dyDescent="0.2">
      <c r="A1136" s="13">
        <v>44888</v>
      </c>
      <c r="C1136" s="2" t="s">
        <v>769</v>
      </c>
      <c r="D1136" s="1" t="s">
        <v>9</v>
      </c>
      <c r="E1136" s="3">
        <f>276400+337392+106284+527826</f>
        <v>1247902</v>
      </c>
      <c r="G1136" s="10">
        <f t="shared" si="22"/>
        <v>4147488</v>
      </c>
    </row>
    <row r="1137" spans="1:9" x14ac:dyDescent="0.2">
      <c r="A1137" s="13">
        <v>44889</v>
      </c>
      <c r="C1137" s="2" t="s">
        <v>505</v>
      </c>
      <c r="D1137" s="1" t="s">
        <v>9</v>
      </c>
      <c r="E1137" s="3">
        <v>219300</v>
      </c>
      <c r="G1137" s="10">
        <f t="shared" si="22"/>
        <v>4366788</v>
      </c>
    </row>
    <row r="1138" spans="1:9" x14ac:dyDescent="0.2">
      <c r="A1138" s="13">
        <v>44893</v>
      </c>
      <c r="C1138" s="2" t="s">
        <v>771</v>
      </c>
      <c r="D1138" s="1" t="s">
        <v>9</v>
      </c>
      <c r="E1138" s="3">
        <f>20355+35117+48254+107085+35400+183196+1412176+117628+561117</f>
        <v>2520328</v>
      </c>
      <c r="G1138" s="10">
        <f t="shared" si="22"/>
        <v>6887116</v>
      </c>
    </row>
    <row r="1139" spans="1:9" x14ac:dyDescent="0.2">
      <c r="A1139" s="13">
        <v>44894</v>
      </c>
      <c r="C1139" s="2" t="s">
        <v>768</v>
      </c>
      <c r="D1139" s="1" t="s">
        <v>9</v>
      </c>
      <c r="F1139" s="3">
        <v>3046856</v>
      </c>
      <c r="G1139" s="10">
        <f t="shared" si="22"/>
        <v>3840260</v>
      </c>
    </row>
    <row r="1140" spans="1:9" x14ac:dyDescent="0.2">
      <c r="A1140" s="13">
        <v>44894</v>
      </c>
      <c r="C1140" s="2" t="s">
        <v>34</v>
      </c>
      <c r="D1140" s="1" t="s">
        <v>9</v>
      </c>
      <c r="F1140" s="3">
        <v>825</v>
      </c>
      <c r="G1140" s="10">
        <f t="shared" si="22"/>
        <v>3839435</v>
      </c>
    </row>
    <row r="1141" spans="1:9" x14ac:dyDescent="0.2">
      <c r="A1141" s="13">
        <v>44894</v>
      </c>
      <c r="C1141" s="2" t="s">
        <v>137</v>
      </c>
      <c r="D1141" s="1" t="s">
        <v>9</v>
      </c>
      <c r="E1141" s="3">
        <v>489827</v>
      </c>
      <c r="G1141" s="10">
        <f t="shared" si="22"/>
        <v>4329262</v>
      </c>
      <c r="I1141" s="25"/>
    </row>
    <row r="1142" spans="1:9" x14ac:dyDescent="0.2">
      <c r="A1142" s="13">
        <v>44895</v>
      </c>
      <c r="C1142" s="2" t="s">
        <v>701</v>
      </c>
      <c r="D1142" s="1" t="s">
        <v>9</v>
      </c>
      <c r="E1142" s="3">
        <v>832520</v>
      </c>
      <c r="G1142" s="10">
        <f t="shared" si="22"/>
        <v>5161782</v>
      </c>
    </row>
    <row r="1143" spans="1:9" x14ac:dyDescent="0.2">
      <c r="A1143" s="13">
        <v>44895</v>
      </c>
      <c r="C1143" s="2" t="s">
        <v>35</v>
      </c>
      <c r="D1143" s="1" t="s">
        <v>9</v>
      </c>
      <c r="F1143" s="3">
        <v>6600</v>
      </c>
      <c r="G1143" s="25">
        <f t="shared" si="22"/>
        <v>5155182</v>
      </c>
    </row>
    <row r="1144" spans="1:9" ht="15.75" x14ac:dyDescent="0.25">
      <c r="A1144" s="11" t="s">
        <v>773</v>
      </c>
      <c r="G1144" s="9"/>
    </row>
    <row r="1145" spans="1:9" x14ac:dyDescent="0.2">
      <c r="A1145" s="12" t="s">
        <v>2</v>
      </c>
      <c r="B1145" s="5" t="s">
        <v>1</v>
      </c>
      <c r="C1145" s="5" t="s">
        <v>3</v>
      </c>
      <c r="D1145" s="5"/>
      <c r="E1145" s="8" t="s">
        <v>4</v>
      </c>
      <c r="F1145" s="8" t="s">
        <v>6</v>
      </c>
      <c r="G1145" s="9" t="s">
        <v>5</v>
      </c>
    </row>
    <row r="1146" spans="1:9" x14ac:dyDescent="0.2">
      <c r="A1146" s="13">
        <v>44896</v>
      </c>
      <c r="C1146" s="2" t="s">
        <v>61</v>
      </c>
      <c r="D1146" s="1" t="s">
        <v>9</v>
      </c>
      <c r="E1146" s="3">
        <v>3098018</v>
      </c>
      <c r="G1146" s="10">
        <f>G1143+E1146-F1146</f>
        <v>8253200</v>
      </c>
      <c r="I1146" s="25"/>
    </row>
    <row r="1147" spans="1:9" x14ac:dyDescent="0.2">
      <c r="A1147" s="13">
        <v>44896</v>
      </c>
      <c r="C1147" s="2" t="s">
        <v>772</v>
      </c>
      <c r="D1147" s="1" t="s">
        <v>9</v>
      </c>
      <c r="E1147" s="3">
        <f>712000+147264+519596</f>
        <v>1378860</v>
      </c>
      <c r="G1147" s="10">
        <f>G1146+E1147-F1147</f>
        <v>9632060</v>
      </c>
      <c r="I1147" s="25"/>
    </row>
    <row r="1148" spans="1:9" x14ac:dyDescent="0.2">
      <c r="A1148" s="13">
        <v>44897</v>
      </c>
      <c r="C1148" s="2" t="s">
        <v>84</v>
      </c>
      <c r="D1148" s="1" t="s">
        <v>9</v>
      </c>
      <c r="F1148" s="3">
        <v>185185</v>
      </c>
      <c r="G1148" s="10">
        <f t="shared" ref="G1148:G1204" si="23">G1147+E1148-F1148</f>
        <v>9446875</v>
      </c>
    </row>
    <row r="1149" spans="1:9" x14ac:dyDescent="0.2">
      <c r="A1149" s="13">
        <v>44897</v>
      </c>
      <c r="C1149" s="2" t="s">
        <v>780</v>
      </c>
      <c r="D1149" s="1" t="s">
        <v>9</v>
      </c>
      <c r="E1149" s="3">
        <v>435520</v>
      </c>
      <c r="G1149" s="10">
        <f t="shared" si="23"/>
        <v>9882395</v>
      </c>
    </row>
    <row r="1150" spans="1:9" x14ac:dyDescent="0.2">
      <c r="A1150" s="13">
        <v>44897</v>
      </c>
      <c r="B1150" s="22" t="s">
        <v>774</v>
      </c>
      <c r="C1150" s="2" t="s">
        <v>777</v>
      </c>
      <c r="D1150" s="1" t="s">
        <v>9</v>
      </c>
      <c r="F1150" s="3">
        <v>335000</v>
      </c>
      <c r="G1150" s="10">
        <f t="shared" si="23"/>
        <v>9547395</v>
      </c>
    </row>
    <row r="1151" spans="1:9" x14ac:dyDescent="0.2">
      <c r="A1151" s="13">
        <v>44897</v>
      </c>
      <c r="B1151" s="22" t="s">
        <v>775</v>
      </c>
      <c r="C1151" s="2" t="s">
        <v>776</v>
      </c>
      <c r="D1151" s="1" t="s">
        <v>9</v>
      </c>
      <c r="F1151" s="3">
        <v>120000</v>
      </c>
      <c r="G1151" s="10">
        <f t="shared" si="23"/>
        <v>9427395</v>
      </c>
    </row>
    <row r="1152" spans="1:9" x14ac:dyDescent="0.2">
      <c r="A1152" s="13">
        <v>44900</v>
      </c>
      <c r="C1152" s="2" t="s">
        <v>778</v>
      </c>
      <c r="D1152" s="1" t="s">
        <v>9</v>
      </c>
      <c r="E1152" s="3">
        <f>533760+59236+398428+342720+689859</f>
        <v>2024003</v>
      </c>
      <c r="G1152" s="10">
        <f t="shared" si="23"/>
        <v>11451398</v>
      </c>
    </row>
    <row r="1153" spans="1:7" x14ac:dyDescent="0.2">
      <c r="A1153" s="13">
        <v>44900</v>
      </c>
      <c r="C1153" s="2" t="s">
        <v>779</v>
      </c>
      <c r="D1153" s="1" t="s">
        <v>9</v>
      </c>
      <c r="F1153" s="3">
        <f>7634237+176077</f>
        <v>7810314</v>
      </c>
      <c r="G1153" s="10">
        <f t="shared" si="23"/>
        <v>3641084</v>
      </c>
    </row>
    <row r="1154" spans="1:7" x14ac:dyDescent="0.2">
      <c r="A1154" s="13">
        <v>44901</v>
      </c>
      <c r="C1154" s="2" t="s">
        <v>505</v>
      </c>
      <c r="D1154" s="1" t="s">
        <v>9</v>
      </c>
      <c r="E1154" s="3">
        <v>41650</v>
      </c>
      <c r="G1154" s="10">
        <f t="shared" si="23"/>
        <v>3682734</v>
      </c>
    </row>
    <row r="1155" spans="1:7" x14ac:dyDescent="0.2">
      <c r="A1155" s="13">
        <v>44902</v>
      </c>
      <c r="C1155" s="2" t="s">
        <v>781</v>
      </c>
      <c r="D1155" s="1" t="s">
        <v>9</v>
      </c>
      <c r="F1155" s="3">
        <f>2079691</f>
        <v>2079691</v>
      </c>
      <c r="G1155" s="10">
        <f t="shared" si="23"/>
        <v>1603043</v>
      </c>
    </row>
    <row r="1156" spans="1:7" x14ac:dyDescent="0.2">
      <c r="A1156" s="13">
        <v>44902</v>
      </c>
      <c r="C1156" s="2" t="s">
        <v>782</v>
      </c>
      <c r="D1156" s="1" t="s">
        <v>9</v>
      </c>
      <c r="F1156" s="3">
        <f>2486836</f>
        <v>2486836</v>
      </c>
      <c r="G1156" s="10">
        <f t="shared" si="23"/>
        <v>-883793</v>
      </c>
    </row>
    <row r="1157" spans="1:7" x14ac:dyDescent="0.2">
      <c r="A1157" s="13">
        <v>44902</v>
      </c>
      <c r="C1157" s="2" t="s">
        <v>783</v>
      </c>
      <c r="D1157" s="1" t="s">
        <v>9</v>
      </c>
      <c r="E1157" s="3">
        <v>2140813</v>
      </c>
      <c r="G1157" s="10">
        <f t="shared" si="23"/>
        <v>1257020</v>
      </c>
    </row>
    <row r="1158" spans="1:7" x14ac:dyDescent="0.2">
      <c r="A1158" s="13">
        <v>44903</v>
      </c>
      <c r="B1158" s="22" t="s">
        <v>784</v>
      </c>
      <c r="C1158" s="23" t="s">
        <v>724</v>
      </c>
      <c r="D1158" s="1" t="s">
        <v>9</v>
      </c>
      <c r="F1158" s="3">
        <v>600000</v>
      </c>
      <c r="G1158" s="10">
        <f t="shared" si="23"/>
        <v>657020</v>
      </c>
    </row>
    <row r="1159" spans="1:7" x14ac:dyDescent="0.2">
      <c r="A1159" s="13">
        <v>44903</v>
      </c>
      <c r="B1159" s="22" t="s">
        <v>785</v>
      </c>
      <c r="C1159" s="2" t="s">
        <v>700</v>
      </c>
      <c r="D1159" s="1" t="s">
        <v>9</v>
      </c>
      <c r="F1159" s="3">
        <v>165000</v>
      </c>
      <c r="G1159" s="10">
        <f t="shared" si="23"/>
        <v>492020</v>
      </c>
    </row>
    <row r="1160" spans="1:7" x14ac:dyDescent="0.2">
      <c r="A1160" s="13">
        <v>44903</v>
      </c>
      <c r="C1160" s="2" t="s">
        <v>786</v>
      </c>
      <c r="D1160" s="1" t="s">
        <v>9</v>
      </c>
      <c r="E1160" s="3">
        <f>223372+2770640+511648</f>
        <v>3505660</v>
      </c>
      <c r="G1160" s="10">
        <f t="shared" si="23"/>
        <v>3997680</v>
      </c>
    </row>
    <row r="1161" spans="1:7" x14ac:dyDescent="0.2">
      <c r="A1161" s="13">
        <v>44903</v>
      </c>
      <c r="C1161" s="2" t="s">
        <v>165</v>
      </c>
      <c r="D1161" s="1" t="s">
        <v>9</v>
      </c>
      <c r="E1161" s="3">
        <v>37600</v>
      </c>
      <c r="G1161" s="10">
        <f t="shared" si="23"/>
        <v>4035280</v>
      </c>
    </row>
    <row r="1162" spans="1:7" x14ac:dyDescent="0.2">
      <c r="A1162" s="13">
        <v>44904</v>
      </c>
      <c r="C1162" s="2" t="s">
        <v>787</v>
      </c>
      <c r="D1162" s="1" t="s">
        <v>9</v>
      </c>
      <c r="E1162" s="3">
        <f>2684028+254541+54752</f>
        <v>2993321</v>
      </c>
      <c r="G1162" s="10">
        <f t="shared" si="23"/>
        <v>7028601</v>
      </c>
    </row>
    <row r="1163" spans="1:7" x14ac:dyDescent="0.2">
      <c r="A1163" s="14">
        <v>44907</v>
      </c>
      <c r="B1163" s="15"/>
      <c r="C1163" s="16" t="s">
        <v>796</v>
      </c>
      <c r="D1163" s="15" t="s">
        <v>9</v>
      </c>
      <c r="E1163" s="17">
        <v>280840</v>
      </c>
      <c r="G1163" s="10">
        <f t="shared" si="23"/>
        <v>7309441</v>
      </c>
    </row>
    <row r="1164" spans="1:7" x14ac:dyDescent="0.2">
      <c r="A1164" s="13">
        <v>44908</v>
      </c>
      <c r="C1164" s="2" t="s">
        <v>788</v>
      </c>
      <c r="D1164" s="1" t="s">
        <v>9</v>
      </c>
      <c r="F1164" s="3">
        <f>270613</f>
        <v>270613</v>
      </c>
      <c r="G1164" s="10">
        <f t="shared" si="23"/>
        <v>7038828</v>
      </c>
    </row>
    <row r="1165" spans="1:7" x14ac:dyDescent="0.2">
      <c r="A1165" s="13">
        <v>44908</v>
      </c>
      <c r="C1165" s="2" t="s">
        <v>789</v>
      </c>
      <c r="D1165" s="1" t="s">
        <v>9</v>
      </c>
      <c r="F1165" s="3">
        <f>128003+275</f>
        <v>128278</v>
      </c>
      <c r="G1165" s="10">
        <f t="shared" si="23"/>
        <v>6910550</v>
      </c>
    </row>
    <row r="1166" spans="1:7" x14ac:dyDescent="0.2">
      <c r="A1166" s="13">
        <v>44908</v>
      </c>
      <c r="C1166" s="2" t="s">
        <v>790</v>
      </c>
      <c r="D1166" s="1" t="s">
        <v>9</v>
      </c>
      <c r="F1166" s="3">
        <f>750000</f>
        <v>750000</v>
      </c>
      <c r="G1166" s="10">
        <f t="shared" si="23"/>
        <v>6160550</v>
      </c>
    </row>
    <row r="1167" spans="1:7" x14ac:dyDescent="0.2">
      <c r="A1167" s="13">
        <v>44908</v>
      </c>
      <c r="C1167" s="2" t="s">
        <v>791</v>
      </c>
      <c r="D1167" s="1" t="s">
        <v>9</v>
      </c>
      <c r="F1167" s="3">
        <f>276158+275</f>
        <v>276433</v>
      </c>
      <c r="G1167" s="10">
        <f t="shared" si="23"/>
        <v>5884117</v>
      </c>
    </row>
    <row r="1168" spans="1:7" x14ac:dyDescent="0.2">
      <c r="A1168" s="13">
        <v>44908</v>
      </c>
      <c r="C1168" s="2" t="s">
        <v>792</v>
      </c>
      <c r="D1168" s="1" t="s">
        <v>9</v>
      </c>
      <c r="F1168" s="3">
        <f>486864+275</f>
        <v>487139</v>
      </c>
      <c r="G1168" s="10">
        <f t="shared" si="23"/>
        <v>5396978</v>
      </c>
    </row>
    <row r="1169" spans="1:7" x14ac:dyDescent="0.2">
      <c r="A1169" s="13">
        <v>44908</v>
      </c>
      <c r="C1169" s="2" t="s">
        <v>793</v>
      </c>
      <c r="D1169" s="1" t="s">
        <v>9</v>
      </c>
      <c r="F1169" s="3">
        <f>72290+275</f>
        <v>72565</v>
      </c>
      <c r="G1169" s="10">
        <f t="shared" si="23"/>
        <v>5324413</v>
      </c>
    </row>
    <row r="1170" spans="1:7" x14ac:dyDescent="0.2">
      <c r="A1170" s="13">
        <v>44908</v>
      </c>
      <c r="C1170" s="2" t="s">
        <v>794</v>
      </c>
      <c r="D1170" s="1" t="s">
        <v>9</v>
      </c>
      <c r="F1170" s="3">
        <f>29559</f>
        <v>29559</v>
      </c>
      <c r="G1170" s="10">
        <f t="shared" si="23"/>
        <v>5294854</v>
      </c>
    </row>
    <row r="1171" spans="1:7" x14ac:dyDescent="0.2">
      <c r="A1171" s="13">
        <v>44908</v>
      </c>
      <c r="C1171" s="2" t="s">
        <v>795</v>
      </c>
      <c r="D1171" s="1" t="s">
        <v>9</v>
      </c>
      <c r="F1171" s="3">
        <f>207798+275</f>
        <v>208073</v>
      </c>
      <c r="G1171" s="10">
        <f t="shared" si="23"/>
        <v>5086781</v>
      </c>
    </row>
    <row r="1172" spans="1:7" x14ac:dyDescent="0.2">
      <c r="A1172" s="13">
        <v>44910</v>
      </c>
      <c r="C1172" s="2" t="s">
        <v>797</v>
      </c>
      <c r="D1172" s="1" t="s">
        <v>9</v>
      </c>
      <c r="E1172" s="3">
        <f>770367+642000+514071+84653+118590</f>
        <v>2129681</v>
      </c>
      <c r="G1172" s="10">
        <f t="shared" si="23"/>
        <v>7216462</v>
      </c>
    </row>
    <row r="1173" spans="1:7" x14ac:dyDescent="0.2">
      <c r="A1173" s="13">
        <v>44910</v>
      </c>
      <c r="C1173" s="2" t="s">
        <v>61</v>
      </c>
      <c r="D1173" s="1" t="s">
        <v>9</v>
      </c>
      <c r="E1173" s="3">
        <v>2003091</v>
      </c>
      <c r="G1173" s="10">
        <f t="shared" si="23"/>
        <v>9219553</v>
      </c>
    </row>
    <row r="1174" spans="1:7" x14ac:dyDescent="0.2">
      <c r="A1174" s="13">
        <v>44911</v>
      </c>
      <c r="C1174" s="2" t="s">
        <v>798</v>
      </c>
      <c r="D1174" s="1" t="s">
        <v>9</v>
      </c>
      <c r="E1174" s="3">
        <f>1125398+156399</f>
        <v>1281797</v>
      </c>
      <c r="G1174" s="10">
        <f t="shared" si="23"/>
        <v>10501350</v>
      </c>
    </row>
    <row r="1175" spans="1:7" x14ac:dyDescent="0.2">
      <c r="A1175" s="13">
        <v>44913</v>
      </c>
      <c r="C1175" s="2" t="s">
        <v>799</v>
      </c>
      <c r="D1175" s="1" t="s">
        <v>9</v>
      </c>
      <c r="F1175" s="3">
        <f>3016602+84872</f>
        <v>3101474</v>
      </c>
      <c r="G1175" s="10">
        <f t="shared" si="23"/>
        <v>7399876</v>
      </c>
    </row>
    <row r="1176" spans="1:7" x14ac:dyDescent="0.2">
      <c r="A1176" s="14">
        <v>44914</v>
      </c>
      <c r="B1176" s="15"/>
      <c r="C1176" s="16" t="s">
        <v>796</v>
      </c>
      <c r="D1176" s="15" t="s">
        <v>9</v>
      </c>
      <c r="E1176" s="17">
        <v>873363</v>
      </c>
      <c r="G1176" s="10">
        <f t="shared" si="23"/>
        <v>8273239</v>
      </c>
    </row>
    <row r="1177" spans="1:7" x14ac:dyDescent="0.2">
      <c r="A1177" s="14">
        <v>44914</v>
      </c>
      <c r="B1177" s="15"/>
      <c r="C1177" s="16" t="s">
        <v>796</v>
      </c>
      <c r="D1177" s="15" t="s">
        <v>9</v>
      </c>
      <c r="E1177" s="17">
        <v>873363</v>
      </c>
      <c r="G1177" s="10">
        <f t="shared" si="23"/>
        <v>9146602</v>
      </c>
    </row>
    <row r="1178" spans="1:7" x14ac:dyDescent="0.2">
      <c r="A1178" s="14">
        <v>44914</v>
      </c>
      <c r="B1178" s="15"/>
      <c r="C1178" s="16" t="s">
        <v>796</v>
      </c>
      <c r="D1178" s="15" t="s">
        <v>9</v>
      </c>
      <c r="E1178" s="17">
        <v>873363</v>
      </c>
      <c r="G1178" s="10">
        <f t="shared" si="23"/>
        <v>10019965</v>
      </c>
    </row>
    <row r="1179" spans="1:7" x14ac:dyDescent="0.2">
      <c r="A1179" s="14">
        <v>44914</v>
      </c>
      <c r="B1179" s="15"/>
      <c r="C1179" s="16" t="s">
        <v>796</v>
      </c>
      <c r="D1179" s="15" t="s">
        <v>9</v>
      </c>
      <c r="E1179" s="17">
        <v>873363</v>
      </c>
      <c r="G1179" s="10">
        <f t="shared" si="23"/>
        <v>10893328</v>
      </c>
    </row>
    <row r="1180" spans="1:7" x14ac:dyDescent="0.2">
      <c r="A1180" s="14">
        <v>44914</v>
      </c>
      <c r="B1180" s="15"/>
      <c r="C1180" s="16" t="s">
        <v>796</v>
      </c>
      <c r="D1180" s="15" t="s">
        <v>9</v>
      </c>
      <c r="E1180" s="17">
        <v>873363</v>
      </c>
      <c r="G1180" s="10">
        <f t="shared" si="23"/>
        <v>11766691</v>
      </c>
    </row>
    <row r="1181" spans="1:7" x14ac:dyDescent="0.2">
      <c r="A1181" s="14">
        <v>44914</v>
      </c>
      <c r="B1181" s="15"/>
      <c r="C1181" s="16" t="s">
        <v>796</v>
      </c>
      <c r="D1181" s="15" t="s">
        <v>9</v>
      </c>
      <c r="E1181" s="17">
        <v>873363</v>
      </c>
      <c r="G1181" s="10">
        <f t="shared" si="23"/>
        <v>12640054</v>
      </c>
    </row>
    <row r="1182" spans="1:7" x14ac:dyDescent="0.2">
      <c r="A1182" s="14">
        <v>44914</v>
      </c>
      <c r="B1182" s="15"/>
      <c r="C1182" s="16" t="s">
        <v>796</v>
      </c>
      <c r="D1182" s="15" t="s">
        <v>9</v>
      </c>
      <c r="E1182" s="17">
        <v>873363</v>
      </c>
      <c r="G1182" s="10">
        <f t="shared" si="23"/>
        <v>13513417</v>
      </c>
    </row>
    <row r="1183" spans="1:7" x14ac:dyDescent="0.2">
      <c r="A1183" s="14">
        <v>44914</v>
      </c>
      <c r="B1183" s="15"/>
      <c r="C1183" s="16" t="s">
        <v>796</v>
      </c>
      <c r="D1183" s="15" t="s">
        <v>9</v>
      </c>
      <c r="E1183" s="17">
        <v>873363</v>
      </c>
      <c r="G1183" s="10">
        <f t="shared" si="23"/>
        <v>14386780</v>
      </c>
    </row>
    <row r="1184" spans="1:7" x14ac:dyDescent="0.2">
      <c r="A1184" s="13">
        <v>44915</v>
      </c>
      <c r="C1184" s="2" t="s">
        <v>800</v>
      </c>
      <c r="D1184" s="1" t="s">
        <v>9</v>
      </c>
      <c r="F1184" s="3">
        <v>1945000</v>
      </c>
      <c r="G1184" s="10">
        <f t="shared" si="23"/>
        <v>12441780</v>
      </c>
    </row>
    <row r="1185" spans="1:7" x14ac:dyDescent="0.2">
      <c r="A1185" s="13">
        <v>44915</v>
      </c>
      <c r="C1185" s="2" t="s">
        <v>34</v>
      </c>
      <c r="D1185" s="1" t="s">
        <v>9</v>
      </c>
      <c r="F1185" s="3">
        <v>825</v>
      </c>
      <c r="G1185" s="10">
        <f t="shared" si="23"/>
        <v>12440955</v>
      </c>
    </row>
    <row r="1186" spans="1:7" x14ac:dyDescent="0.2">
      <c r="A1186" s="13">
        <v>44915</v>
      </c>
      <c r="C1186" s="2" t="s">
        <v>801</v>
      </c>
      <c r="D1186" s="1" t="s">
        <v>9</v>
      </c>
      <c r="E1186" s="3">
        <f>719046+960973+184080</f>
        <v>1864099</v>
      </c>
      <c r="G1186" s="10">
        <f t="shared" si="23"/>
        <v>14305054</v>
      </c>
    </row>
    <row r="1187" spans="1:7" x14ac:dyDescent="0.2">
      <c r="A1187" s="13">
        <v>44916</v>
      </c>
      <c r="C1187" s="2" t="s">
        <v>802</v>
      </c>
      <c r="D1187" s="1" t="s">
        <v>9</v>
      </c>
      <c r="E1187" s="3">
        <f>594665+56168+274527+411219</f>
        <v>1336579</v>
      </c>
      <c r="G1187" s="10">
        <f t="shared" si="23"/>
        <v>15641633</v>
      </c>
    </row>
    <row r="1188" spans="1:7" x14ac:dyDescent="0.2">
      <c r="A1188" s="13">
        <v>44918</v>
      </c>
      <c r="C1188" s="2" t="s">
        <v>805</v>
      </c>
      <c r="D1188" s="1" t="s">
        <v>9</v>
      </c>
      <c r="E1188" s="3">
        <v>604258</v>
      </c>
      <c r="G1188" s="10">
        <f t="shared" si="23"/>
        <v>16245891</v>
      </c>
    </row>
    <row r="1189" spans="1:7" x14ac:dyDescent="0.2">
      <c r="A1189" s="13">
        <v>44918</v>
      </c>
      <c r="C1189" s="2" t="s">
        <v>810</v>
      </c>
      <c r="D1189" s="1" t="s">
        <v>9</v>
      </c>
      <c r="E1189" s="3">
        <v>681790</v>
      </c>
      <c r="G1189" s="10">
        <f t="shared" si="23"/>
        <v>16927681</v>
      </c>
    </row>
    <row r="1190" spans="1:7" x14ac:dyDescent="0.2">
      <c r="A1190" s="13">
        <v>44922</v>
      </c>
      <c r="C1190" s="2" t="s">
        <v>35</v>
      </c>
      <c r="D1190" s="1" t="s">
        <v>9</v>
      </c>
      <c r="F1190" s="3">
        <v>6600</v>
      </c>
      <c r="G1190" s="10">
        <f t="shared" si="23"/>
        <v>16921081</v>
      </c>
    </row>
    <row r="1191" spans="1:7" x14ac:dyDescent="0.2">
      <c r="A1191" s="14">
        <v>44922</v>
      </c>
      <c r="B1191" s="15"/>
      <c r="C1191" s="16" t="s">
        <v>808</v>
      </c>
      <c r="D1191" s="15" t="s">
        <v>9</v>
      </c>
      <c r="E1191" s="17"/>
      <c r="F1191" s="17">
        <f>873363*7</f>
        <v>6113541</v>
      </c>
      <c r="G1191" s="10">
        <f t="shared" si="23"/>
        <v>10807540</v>
      </c>
    </row>
    <row r="1192" spans="1:7" x14ac:dyDescent="0.2">
      <c r="A1192" s="13">
        <v>44922</v>
      </c>
      <c r="C1192" s="2" t="s">
        <v>809</v>
      </c>
      <c r="D1192" s="1" t="s">
        <v>9</v>
      </c>
      <c r="E1192" s="3">
        <v>1157309</v>
      </c>
      <c r="G1192" s="10">
        <f t="shared" si="23"/>
        <v>11964849</v>
      </c>
    </row>
    <row r="1193" spans="1:7" x14ac:dyDescent="0.2">
      <c r="A1193" s="13">
        <v>44923</v>
      </c>
      <c r="C1193" s="2" t="s">
        <v>804</v>
      </c>
      <c r="D1193" s="1" t="s">
        <v>9</v>
      </c>
      <c r="E1193" s="3">
        <f>260882+385168+114121+57684</f>
        <v>817855</v>
      </c>
      <c r="G1193" s="10">
        <f t="shared" si="23"/>
        <v>12782704</v>
      </c>
    </row>
    <row r="1194" spans="1:7" x14ac:dyDescent="0.2">
      <c r="A1194" s="13">
        <v>44923</v>
      </c>
      <c r="B1194" s="22" t="s">
        <v>806</v>
      </c>
      <c r="C1194" s="2" t="s">
        <v>807</v>
      </c>
      <c r="D1194" s="1" t="s">
        <v>9</v>
      </c>
      <c r="F1194" s="3">
        <v>1560000</v>
      </c>
      <c r="G1194" s="10">
        <f t="shared" si="23"/>
        <v>11222704</v>
      </c>
    </row>
    <row r="1195" spans="1:7" x14ac:dyDescent="0.2">
      <c r="A1195" s="13">
        <v>44924</v>
      </c>
      <c r="C1195" s="2" t="s">
        <v>35</v>
      </c>
      <c r="D1195" s="1" t="s">
        <v>9</v>
      </c>
      <c r="F1195" s="3">
        <v>6600</v>
      </c>
      <c r="G1195" s="10">
        <f t="shared" si="23"/>
        <v>11216104</v>
      </c>
    </row>
    <row r="1196" spans="1:7" x14ac:dyDescent="0.2">
      <c r="A1196" s="13">
        <v>44924</v>
      </c>
      <c r="C1196" s="2" t="s">
        <v>27</v>
      </c>
      <c r="D1196" s="1" t="s">
        <v>9</v>
      </c>
      <c r="F1196" s="3">
        <v>150000</v>
      </c>
      <c r="G1196" s="10">
        <f t="shared" si="23"/>
        <v>11066104</v>
      </c>
    </row>
    <row r="1197" spans="1:7" x14ac:dyDescent="0.2">
      <c r="A1197" s="13">
        <v>44924</v>
      </c>
      <c r="C1197" s="2" t="s">
        <v>796</v>
      </c>
      <c r="D1197" s="1" t="s">
        <v>9</v>
      </c>
      <c r="E1197" s="3">
        <v>318954</v>
      </c>
      <c r="G1197" s="10">
        <f t="shared" si="23"/>
        <v>11385058</v>
      </c>
    </row>
    <row r="1198" spans="1:7" x14ac:dyDescent="0.2">
      <c r="A1198" s="13">
        <v>44924</v>
      </c>
      <c r="C1198" s="2" t="s">
        <v>811</v>
      </c>
      <c r="D1198" s="1" t="s">
        <v>9</v>
      </c>
      <c r="E1198" s="3">
        <v>52864</v>
      </c>
      <c r="G1198" s="10">
        <f t="shared" si="23"/>
        <v>11437922</v>
      </c>
    </row>
    <row r="1199" spans="1:7" x14ac:dyDescent="0.2">
      <c r="A1199" s="13">
        <v>44924</v>
      </c>
      <c r="C1199" s="2" t="s">
        <v>505</v>
      </c>
      <c r="D1199" s="1" t="s">
        <v>9</v>
      </c>
      <c r="E1199" s="3">
        <v>194529</v>
      </c>
      <c r="G1199" s="10">
        <f t="shared" si="23"/>
        <v>11632451</v>
      </c>
    </row>
    <row r="1200" spans="1:7" x14ac:dyDescent="0.2">
      <c r="A1200" s="13">
        <v>44925</v>
      </c>
      <c r="C1200" s="2" t="s">
        <v>812</v>
      </c>
      <c r="D1200" s="1" t="s">
        <v>9</v>
      </c>
      <c r="F1200" s="3">
        <v>2980137</v>
      </c>
      <c r="G1200" s="10">
        <f t="shared" si="23"/>
        <v>8652314</v>
      </c>
    </row>
    <row r="1201" spans="1:9" x14ac:dyDescent="0.2">
      <c r="A1201" s="13">
        <v>44925</v>
      </c>
      <c r="C1201" s="2" t="s">
        <v>34</v>
      </c>
      <c r="D1201" s="1" t="s">
        <v>9</v>
      </c>
      <c r="F1201" s="3">
        <v>825</v>
      </c>
      <c r="G1201" s="10">
        <f t="shared" si="23"/>
        <v>8651489</v>
      </c>
    </row>
    <row r="1202" spans="1:9" x14ac:dyDescent="0.2">
      <c r="A1202" s="13">
        <v>44925</v>
      </c>
      <c r="C1202" s="2" t="s">
        <v>813</v>
      </c>
      <c r="D1202" s="1" t="s">
        <v>9</v>
      </c>
      <c r="F1202" s="3">
        <v>51637</v>
      </c>
      <c r="G1202" s="25">
        <f t="shared" si="23"/>
        <v>8599852</v>
      </c>
      <c r="I1202" s="25"/>
    </row>
    <row r="1203" spans="1:9" x14ac:dyDescent="0.2">
      <c r="A1203" s="13">
        <v>44925</v>
      </c>
      <c r="C1203" s="2" t="s">
        <v>84</v>
      </c>
      <c r="D1203" s="1" t="s">
        <v>9</v>
      </c>
      <c r="F1203" s="3">
        <v>185185</v>
      </c>
      <c r="G1203" s="10">
        <f t="shared" si="23"/>
        <v>8414667</v>
      </c>
    </row>
    <row r="1204" spans="1:9" x14ac:dyDescent="0.2">
      <c r="A1204" s="13">
        <v>44925</v>
      </c>
      <c r="C1204" s="2" t="s">
        <v>84</v>
      </c>
      <c r="D1204" s="1" t="s">
        <v>9</v>
      </c>
      <c r="F1204" s="3">
        <v>487589</v>
      </c>
      <c r="G1204" s="10">
        <f t="shared" si="23"/>
        <v>7927078</v>
      </c>
    </row>
    <row r="1205" spans="1:9" ht="15.75" x14ac:dyDescent="0.25">
      <c r="A1205" s="11" t="s">
        <v>816</v>
      </c>
      <c r="G1205" s="9"/>
      <c r="I1205" s="25"/>
    </row>
    <row r="1206" spans="1:9" x14ac:dyDescent="0.2">
      <c r="A1206" s="12" t="s">
        <v>2</v>
      </c>
      <c r="B1206" s="5" t="s">
        <v>1</v>
      </c>
      <c r="C1206" s="5" t="s">
        <v>3</v>
      </c>
      <c r="D1206" s="5"/>
      <c r="E1206" s="8" t="s">
        <v>4</v>
      </c>
      <c r="F1206" s="8" t="s">
        <v>6</v>
      </c>
      <c r="G1206" s="9" t="s">
        <v>5</v>
      </c>
    </row>
    <row r="1207" spans="1:9" x14ac:dyDescent="0.2">
      <c r="A1207" s="13">
        <v>44929</v>
      </c>
      <c r="C1207" s="2" t="s">
        <v>440</v>
      </c>
      <c r="D1207" s="1" t="s">
        <v>9</v>
      </c>
      <c r="E1207" s="3">
        <v>8098</v>
      </c>
      <c r="G1207" s="10">
        <f>G1204+E1207-F1207</f>
        <v>7935176</v>
      </c>
    </row>
    <row r="1208" spans="1:9" x14ac:dyDescent="0.2">
      <c r="A1208" s="13">
        <v>44929</v>
      </c>
      <c r="C1208" s="2" t="s">
        <v>814</v>
      </c>
      <c r="D1208" s="1" t="s">
        <v>9</v>
      </c>
      <c r="E1208" s="3">
        <f>685020+310300+242713+478750</f>
        <v>1716783</v>
      </c>
      <c r="G1208" s="10">
        <f>G1207+E1208-F1208</f>
        <v>9651959</v>
      </c>
    </row>
    <row r="1209" spans="1:9" x14ac:dyDescent="0.2">
      <c r="A1209" s="13">
        <v>44929</v>
      </c>
      <c r="C1209" s="2" t="s">
        <v>815</v>
      </c>
      <c r="D1209" s="1" t="s">
        <v>9</v>
      </c>
      <c r="E1209" s="3">
        <f>365925+448400+796205+95403</f>
        <v>1705933</v>
      </c>
      <c r="G1209" s="10">
        <f t="shared" ref="G1209:G1216" si="24">G1208+E1209-F1209</f>
        <v>11357892</v>
      </c>
    </row>
    <row r="1210" spans="1:9" x14ac:dyDescent="0.2">
      <c r="A1210" s="13">
        <v>44932</v>
      </c>
      <c r="B1210" s="1" t="s">
        <v>818</v>
      </c>
      <c r="C1210" s="2" t="s">
        <v>154</v>
      </c>
      <c r="D1210" s="1" t="s">
        <v>9</v>
      </c>
      <c r="F1210" s="3">
        <v>284970</v>
      </c>
      <c r="G1210" s="10">
        <f t="shared" si="24"/>
        <v>11072922</v>
      </c>
    </row>
    <row r="1211" spans="1:9" x14ac:dyDescent="0.2">
      <c r="A1211" s="13">
        <v>44932</v>
      </c>
      <c r="B1211" s="1" t="s">
        <v>819</v>
      </c>
      <c r="C1211" s="2" t="s">
        <v>820</v>
      </c>
      <c r="D1211" s="1" t="s">
        <v>9</v>
      </c>
      <c r="F1211" s="3">
        <v>240000</v>
      </c>
      <c r="G1211" s="10">
        <f t="shared" si="24"/>
        <v>10832922</v>
      </c>
    </row>
    <row r="1212" spans="1:9" x14ac:dyDescent="0.2">
      <c r="A1212" s="13">
        <v>44932</v>
      </c>
      <c r="C1212" s="2" t="s">
        <v>803</v>
      </c>
      <c r="D1212" s="1" t="s">
        <v>9</v>
      </c>
      <c r="F1212" s="3">
        <f>5561367+135139</f>
        <v>5696506</v>
      </c>
      <c r="G1212" s="10">
        <f t="shared" si="24"/>
        <v>5136416</v>
      </c>
    </row>
    <row r="1213" spans="1:9" x14ac:dyDescent="0.2">
      <c r="A1213" s="13">
        <v>44932</v>
      </c>
      <c r="C1213" s="2" t="s">
        <v>18</v>
      </c>
      <c r="D1213" s="1" t="s">
        <v>9</v>
      </c>
      <c r="E1213" s="3">
        <v>267750</v>
      </c>
      <c r="G1213" s="10">
        <f t="shared" si="24"/>
        <v>5404166</v>
      </c>
    </row>
    <row r="1214" spans="1:9" x14ac:dyDescent="0.2">
      <c r="A1214" s="13">
        <v>44932</v>
      </c>
      <c r="C1214" s="2" t="s">
        <v>18</v>
      </c>
      <c r="D1214" s="1" t="s">
        <v>9</v>
      </c>
      <c r="E1214" s="3">
        <v>124950</v>
      </c>
      <c r="G1214" s="10">
        <f t="shared" si="24"/>
        <v>5529116</v>
      </c>
    </row>
    <row r="1215" spans="1:9" x14ac:dyDescent="0.2">
      <c r="A1215" s="13">
        <v>44932</v>
      </c>
      <c r="C1215" s="2" t="s">
        <v>189</v>
      </c>
      <c r="D1215" s="1" t="s">
        <v>9</v>
      </c>
      <c r="E1215" s="3">
        <v>431261</v>
      </c>
      <c r="G1215" s="10">
        <f t="shared" si="24"/>
        <v>5960377</v>
      </c>
    </row>
    <row r="1216" spans="1:9" x14ac:dyDescent="0.2">
      <c r="A1216" s="13">
        <v>44935</v>
      </c>
      <c r="C1216" s="2" t="s">
        <v>116</v>
      </c>
      <c r="D1216" s="1" t="s">
        <v>9</v>
      </c>
      <c r="E1216" s="3">
        <v>320158</v>
      </c>
      <c r="G1216" s="10">
        <f t="shared" si="24"/>
        <v>6280535</v>
      </c>
    </row>
    <row r="1217" spans="1:7" x14ac:dyDescent="0.2">
      <c r="A1217" s="13">
        <v>44936</v>
      </c>
      <c r="C1217" s="2" t="s">
        <v>165</v>
      </c>
      <c r="D1217" s="1" t="s">
        <v>9</v>
      </c>
      <c r="E1217" s="3">
        <v>134720</v>
      </c>
      <c r="G1217" s="10">
        <f t="shared" ref="G1217:G1286" si="25">G1216+E1217-F1217</f>
        <v>6415255</v>
      </c>
    </row>
    <row r="1218" spans="1:7" x14ac:dyDescent="0.2">
      <c r="A1218" s="13">
        <v>44936</v>
      </c>
      <c r="C1218" s="2" t="s">
        <v>821</v>
      </c>
      <c r="D1218" s="1" t="s">
        <v>9</v>
      </c>
      <c r="F1218" s="3">
        <f>500000+275</f>
        <v>500275</v>
      </c>
      <c r="G1218" s="10">
        <f t="shared" si="25"/>
        <v>5914980</v>
      </c>
    </row>
    <row r="1219" spans="1:7" x14ac:dyDescent="0.2">
      <c r="A1219" s="13">
        <v>44936</v>
      </c>
      <c r="C1219" s="2" t="s">
        <v>822</v>
      </c>
      <c r="D1219" s="1" t="s">
        <v>9</v>
      </c>
      <c r="F1219" s="3">
        <f>162500+275</f>
        <v>162775</v>
      </c>
      <c r="G1219" s="10">
        <f t="shared" si="25"/>
        <v>5752205</v>
      </c>
    </row>
    <row r="1220" spans="1:7" x14ac:dyDescent="0.2">
      <c r="A1220" s="13">
        <v>44936</v>
      </c>
      <c r="C1220" s="2" t="s">
        <v>706</v>
      </c>
      <c r="D1220" s="1" t="s">
        <v>9</v>
      </c>
      <c r="F1220" s="3">
        <f>470684</f>
        <v>470684</v>
      </c>
      <c r="G1220" s="10">
        <f t="shared" si="25"/>
        <v>5281521</v>
      </c>
    </row>
    <row r="1221" spans="1:7" x14ac:dyDescent="0.2">
      <c r="A1221" s="13">
        <v>44936</v>
      </c>
      <c r="C1221" s="2" t="s">
        <v>823</v>
      </c>
      <c r="D1221" s="1" t="s">
        <v>9</v>
      </c>
      <c r="F1221" s="3">
        <f>500000+275</f>
        <v>500275</v>
      </c>
      <c r="G1221" s="10">
        <f t="shared" si="25"/>
        <v>4781246</v>
      </c>
    </row>
    <row r="1222" spans="1:7" x14ac:dyDescent="0.2">
      <c r="A1222" s="13">
        <v>44936</v>
      </c>
      <c r="C1222" s="2" t="s">
        <v>824</v>
      </c>
      <c r="D1222" s="1" t="s">
        <v>9</v>
      </c>
      <c r="F1222" s="3">
        <f>127912+275</f>
        <v>128187</v>
      </c>
      <c r="G1222" s="10">
        <f t="shared" si="25"/>
        <v>4653059</v>
      </c>
    </row>
    <row r="1223" spans="1:7" x14ac:dyDescent="0.2">
      <c r="A1223" s="13">
        <v>44936</v>
      </c>
      <c r="C1223" s="2" t="s">
        <v>825</v>
      </c>
      <c r="D1223" s="1" t="s">
        <v>9</v>
      </c>
      <c r="F1223" s="3">
        <f>190228</f>
        <v>190228</v>
      </c>
      <c r="G1223" s="10">
        <f t="shared" si="25"/>
        <v>4462831</v>
      </c>
    </row>
    <row r="1224" spans="1:7" x14ac:dyDescent="0.2">
      <c r="A1224" s="13">
        <v>44936</v>
      </c>
      <c r="C1224" s="2" t="s">
        <v>826</v>
      </c>
      <c r="D1224" s="1" t="s">
        <v>9</v>
      </c>
      <c r="F1224" s="3">
        <f>1309839</f>
        <v>1309839</v>
      </c>
      <c r="G1224" s="10">
        <f t="shared" si="25"/>
        <v>3152992</v>
      </c>
    </row>
    <row r="1225" spans="1:7" x14ac:dyDescent="0.2">
      <c r="A1225" s="13">
        <v>44936</v>
      </c>
      <c r="C1225" s="2" t="s">
        <v>827</v>
      </c>
      <c r="D1225" s="1" t="s">
        <v>9</v>
      </c>
      <c r="F1225" s="3">
        <f>76700+275</f>
        <v>76975</v>
      </c>
      <c r="G1225" s="10">
        <f t="shared" si="25"/>
        <v>3076017</v>
      </c>
    </row>
    <row r="1226" spans="1:7" x14ac:dyDescent="0.2">
      <c r="A1226" s="13">
        <v>44936</v>
      </c>
      <c r="C1226" s="2" t="s">
        <v>828</v>
      </c>
      <c r="D1226" s="1" t="s">
        <v>9</v>
      </c>
      <c r="F1226" s="3">
        <f>123900+275</f>
        <v>124175</v>
      </c>
      <c r="G1226" s="10">
        <f t="shared" si="25"/>
        <v>2951842</v>
      </c>
    </row>
    <row r="1227" spans="1:7" x14ac:dyDescent="0.2">
      <c r="A1227" s="13">
        <v>44936</v>
      </c>
      <c r="C1227" s="2" t="s">
        <v>829</v>
      </c>
      <c r="D1227" s="1" t="s">
        <v>9</v>
      </c>
      <c r="E1227" s="3">
        <f>687205+43490+23895</f>
        <v>754590</v>
      </c>
      <c r="G1227" s="10">
        <f t="shared" si="25"/>
        <v>3706432</v>
      </c>
    </row>
    <row r="1228" spans="1:7" x14ac:dyDescent="0.2">
      <c r="A1228" s="13">
        <v>44938</v>
      </c>
      <c r="C1228" s="2" t="s">
        <v>830</v>
      </c>
      <c r="D1228" s="1" t="s">
        <v>9</v>
      </c>
      <c r="F1228" s="3">
        <v>6760438</v>
      </c>
      <c r="G1228" s="10">
        <f t="shared" si="25"/>
        <v>-3054006</v>
      </c>
    </row>
    <row r="1229" spans="1:7" x14ac:dyDescent="0.2">
      <c r="A1229" s="13">
        <v>44938</v>
      </c>
      <c r="C1229" s="2" t="s">
        <v>831</v>
      </c>
      <c r="D1229" s="1" t="s">
        <v>9</v>
      </c>
      <c r="F1229" s="3">
        <v>21800</v>
      </c>
      <c r="G1229" s="10">
        <f t="shared" si="25"/>
        <v>-3075806</v>
      </c>
    </row>
    <row r="1230" spans="1:7" x14ac:dyDescent="0.2">
      <c r="A1230" s="13">
        <v>44938</v>
      </c>
      <c r="C1230" s="2" t="s">
        <v>832</v>
      </c>
      <c r="D1230" s="1" t="s">
        <v>9</v>
      </c>
      <c r="F1230" s="3">
        <v>76718</v>
      </c>
      <c r="G1230" s="10">
        <f t="shared" si="25"/>
        <v>-3152524</v>
      </c>
    </row>
    <row r="1231" spans="1:7" x14ac:dyDescent="0.2">
      <c r="A1231" s="13">
        <v>44938</v>
      </c>
      <c r="B1231" s="1" t="s">
        <v>833</v>
      </c>
      <c r="C1231" s="2" t="s">
        <v>834</v>
      </c>
      <c r="D1231" s="1" t="s">
        <v>9</v>
      </c>
      <c r="F1231" s="3">
        <v>410100</v>
      </c>
      <c r="G1231" s="10">
        <f t="shared" si="25"/>
        <v>-3562624</v>
      </c>
    </row>
    <row r="1232" spans="1:7" x14ac:dyDescent="0.2">
      <c r="A1232" s="13">
        <v>44938</v>
      </c>
      <c r="B1232" s="1" t="s">
        <v>835</v>
      </c>
      <c r="C1232" s="23" t="s">
        <v>724</v>
      </c>
      <c r="D1232" s="1" t="s">
        <v>9</v>
      </c>
      <c r="F1232" s="3">
        <v>600000</v>
      </c>
      <c r="G1232" s="10">
        <f t="shared" si="25"/>
        <v>-4162624</v>
      </c>
    </row>
    <row r="1233" spans="1:7" x14ac:dyDescent="0.2">
      <c r="A1233" s="13">
        <v>44938</v>
      </c>
      <c r="B1233" s="1" t="s">
        <v>836</v>
      </c>
      <c r="C1233" s="2" t="s">
        <v>700</v>
      </c>
      <c r="D1233" s="1" t="s">
        <v>9</v>
      </c>
      <c r="F1233" s="3">
        <v>165000</v>
      </c>
      <c r="G1233" s="10">
        <f t="shared" si="25"/>
        <v>-4327624</v>
      </c>
    </row>
    <row r="1234" spans="1:7" x14ac:dyDescent="0.2">
      <c r="A1234" s="13">
        <v>44938</v>
      </c>
      <c r="B1234" s="1" t="s">
        <v>837</v>
      </c>
      <c r="C1234" s="2" t="s">
        <v>150</v>
      </c>
      <c r="D1234" s="1" t="s">
        <v>9</v>
      </c>
      <c r="F1234" s="3">
        <v>232000</v>
      </c>
      <c r="G1234" s="10">
        <f t="shared" si="25"/>
        <v>-4559624</v>
      </c>
    </row>
    <row r="1235" spans="1:7" x14ac:dyDescent="0.2">
      <c r="A1235" s="13">
        <v>44938</v>
      </c>
      <c r="C1235" s="2" t="s">
        <v>838</v>
      </c>
      <c r="D1235" s="1" t="s">
        <v>9</v>
      </c>
      <c r="E1235" s="3">
        <f>229261+56525+763737+871000</f>
        <v>1920523</v>
      </c>
      <c r="G1235" s="10">
        <f t="shared" si="25"/>
        <v>-2639101</v>
      </c>
    </row>
    <row r="1236" spans="1:7" x14ac:dyDescent="0.2">
      <c r="A1236" s="13">
        <v>44938</v>
      </c>
      <c r="C1236" s="2" t="s">
        <v>440</v>
      </c>
      <c r="D1236" s="1" t="s">
        <v>9</v>
      </c>
      <c r="E1236" s="3">
        <v>8990</v>
      </c>
      <c r="G1236" s="10">
        <f t="shared" si="25"/>
        <v>-2630111</v>
      </c>
    </row>
    <row r="1237" spans="1:7" x14ac:dyDescent="0.2">
      <c r="A1237" s="13">
        <v>44938</v>
      </c>
      <c r="C1237" s="2" t="s">
        <v>351</v>
      </c>
      <c r="D1237" s="1" t="s">
        <v>9</v>
      </c>
      <c r="E1237" s="3">
        <v>70210</v>
      </c>
      <c r="G1237" s="10">
        <f t="shared" si="25"/>
        <v>-2559901</v>
      </c>
    </row>
    <row r="1238" spans="1:7" x14ac:dyDescent="0.2">
      <c r="A1238" s="13">
        <v>44939</v>
      </c>
      <c r="C1238" s="2" t="s">
        <v>20</v>
      </c>
      <c r="D1238" s="1" t="s">
        <v>9</v>
      </c>
      <c r="F1238" s="3">
        <v>5000</v>
      </c>
      <c r="G1238" s="10">
        <f t="shared" si="25"/>
        <v>-2564901</v>
      </c>
    </row>
    <row r="1239" spans="1:7" x14ac:dyDescent="0.2">
      <c r="A1239" s="13">
        <v>44939</v>
      </c>
      <c r="C1239" s="2" t="s">
        <v>20</v>
      </c>
      <c r="D1239" s="1" t="s">
        <v>9</v>
      </c>
      <c r="F1239" s="3">
        <v>5000</v>
      </c>
      <c r="G1239" s="10">
        <f t="shared" si="25"/>
        <v>-2569901</v>
      </c>
    </row>
    <row r="1240" spans="1:7" x14ac:dyDescent="0.2">
      <c r="A1240" s="13">
        <v>44939</v>
      </c>
      <c r="C1240" s="2" t="s">
        <v>20</v>
      </c>
      <c r="D1240" s="1" t="s">
        <v>9</v>
      </c>
      <c r="F1240" s="3">
        <v>5000</v>
      </c>
      <c r="G1240" s="10">
        <f t="shared" si="25"/>
        <v>-2574901</v>
      </c>
    </row>
    <row r="1241" spans="1:7" x14ac:dyDescent="0.2">
      <c r="A1241" s="13">
        <v>44942</v>
      </c>
      <c r="C1241" s="2" t="s">
        <v>817</v>
      </c>
      <c r="D1241" s="1" t="s">
        <v>9</v>
      </c>
      <c r="F1241" s="3">
        <f>2382114+72344</f>
        <v>2454458</v>
      </c>
      <c r="G1241" s="10">
        <f t="shared" si="25"/>
        <v>-5029359</v>
      </c>
    </row>
    <row r="1242" spans="1:7" x14ac:dyDescent="0.2">
      <c r="A1242" s="13">
        <v>44942</v>
      </c>
      <c r="C1242" s="2" t="s">
        <v>839</v>
      </c>
      <c r="D1242" s="1" t="s">
        <v>9</v>
      </c>
      <c r="E1242" s="3">
        <f>403696+331728+160794+37111+1050523+1772009</f>
        <v>3755861</v>
      </c>
      <c r="G1242" s="10">
        <f t="shared" si="25"/>
        <v>-1273498</v>
      </c>
    </row>
    <row r="1243" spans="1:7" x14ac:dyDescent="0.2">
      <c r="A1243" s="13">
        <v>44942</v>
      </c>
      <c r="C1243" s="2" t="s">
        <v>840</v>
      </c>
      <c r="D1243" s="1" t="s">
        <v>9</v>
      </c>
      <c r="E1243" s="3">
        <f>506385+70984+18054+10030+27583+68204+1083919</f>
        <v>1785159</v>
      </c>
      <c r="G1243" s="10">
        <f t="shared" si="25"/>
        <v>511661</v>
      </c>
    </row>
    <row r="1244" spans="1:7" x14ac:dyDescent="0.2">
      <c r="A1244" s="13">
        <v>44942</v>
      </c>
      <c r="C1244" s="2" t="s">
        <v>18</v>
      </c>
      <c r="D1244" s="1" t="s">
        <v>9</v>
      </c>
      <c r="E1244" s="3">
        <v>25925</v>
      </c>
      <c r="G1244" s="10">
        <f t="shared" si="25"/>
        <v>537586</v>
      </c>
    </row>
    <row r="1245" spans="1:7" x14ac:dyDescent="0.2">
      <c r="A1245" s="13">
        <v>44944</v>
      </c>
      <c r="C1245" s="2" t="s">
        <v>841</v>
      </c>
      <c r="D1245" s="1" t="s">
        <v>9</v>
      </c>
      <c r="F1245" s="3">
        <f>3736535</f>
        <v>3736535</v>
      </c>
      <c r="G1245" s="10">
        <f t="shared" si="25"/>
        <v>-3198949</v>
      </c>
    </row>
    <row r="1246" spans="1:7" x14ac:dyDescent="0.2">
      <c r="A1246" s="13">
        <v>44944</v>
      </c>
      <c r="C1246" s="2" t="s">
        <v>377</v>
      </c>
      <c r="D1246" s="1" t="s">
        <v>9</v>
      </c>
      <c r="E1246" s="3">
        <v>1000000</v>
      </c>
      <c r="G1246" s="10">
        <f t="shared" si="25"/>
        <v>-2198949</v>
      </c>
    </row>
    <row r="1247" spans="1:7" x14ac:dyDescent="0.2">
      <c r="A1247" s="13">
        <v>44944</v>
      </c>
      <c r="C1247" s="2" t="s">
        <v>842</v>
      </c>
      <c r="D1247" s="1" t="s">
        <v>9</v>
      </c>
      <c r="E1247" s="3">
        <f>725558+91574+36108+390526+36840+591992+39967+236000</f>
        <v>2148565</v>
      </c>
      <c r="G1247" s="10">
        <f t="shared" si="25"/>
        <v>-50384</v>
      </c>
    </row>
    <row r="1248" spans="1:7" x14ac:dyDescent="0.2">
      <c r="A1248" s="13">
        <v>44944</v>
      </c>
      <c r="C1248" s="2" t="s">
        <v>61</v>
      </c>
      <c r="D1248" s="1" t="s">
        <v>9</v>
      </c>
      <c r="E1248" s="3">
        <v>2505875</v>
      </c>
      <c r="G1248" s="10">
        <f t="shared" si="25"/>
        <v>2455491</v>
      </c>
    </row>
    <row r="1249" spans="1:7" x14ac:dyDescent="0.2">
      <c r="A1249" s="13">
        <v>44944</v>
      </c>
      <c r="B1249" s="1" t="s">
        <v>843</v>
      </c>
      <c r="C1249" s="2" t="s">
        <v>844</v>
      </c>
      <c r="D1249" s="1" t="s">
        <v>9</v>
      </c>
      <c r="F1249" s="3">
        <v>1925557</v>
      </c>
      <c r="G1249" s="10">
        <f t="shared" si="25"/>
        <v>529934</v>
      </c>
    </row>
    <row r="1250" spans="1:7" x14ac:dyDescent="0.2">
      <c r="A1250" s="13">
        <v>44944</v>
      </c>
      <c r="B1250" s="1" t="s">
        <v>845</v>
      </c>
      <c r="C1250" s="2" t="s">
        <v>846</v>
      </c>
      <c r="D1250" s="1" t="s">
        <v>9</v>
      </c>
      <c r="F1250" s="3">
        <v>220000</v>
      </c>
      <c r="G1250" s="10">
        <f t="shared" si="25"/>
        <v>309934</v>
      </c>
    </row>
    <row r="1251" spans="1:7" x14ac:dyDescent="0.2">
      <c r="A1251" s="13">
        <v>44944</v>
      </c>
      <c r="C1251" s="2" t="s">
        <v>53</v>
      </c>
      <c r="D1251" s="1" t="s">
        <v>9</v>
      </c>
      <c r="F1251" s="3">
        <v>100</v>
      </c>
      <c r="G1251" s="10">
        <f t="shared" si="25"/>
        <v>309834</v>
      </c>
    </row>
    <row r="1252" spans="1:7" x14ac:dyDescent="0.2">
      <c r="A1252" s="13">
        <v>44945</v>
      </c>
      <c r="C1252" s="2" t="s">
        <v>377</v>
      </c>
      <c r="D1252" s="1" t="s">
        <v>9</v>
      </c>
      <c r="E1252" s="3">
        <v>1500000</v>
      </c>
      <c r="G1252" s="10">
        <f t="shared" si="25"/>
        <v>1809834</v>
      </c>
    </row>
    <row r="1253" spans="1:7" x14ac:dyDescent="0.2">
      <c r="A1253" s="13">
        <v>44945</v>
      </c>
      <c r="C1253" s="2" t="s">
        <v>53</v>
      </c>
      <c r="D1253" s="1" t="s">
        <v>9</v>
      </c>
      <c r="F1253" s="3">
        <v>100</v>
      </c>
      <c r="G1253" s="10">
        <f t="shared" si="25"/>
        <v>1809734</v>
      </c>
    </row>
    <row r="1254" spans="1:7" x14ac:dyDescent="0.2">
      <c r="A1254" s="13">
        <v>44945</v>
      </c>
      <c r="C1254" s="2" t="s">
        <v>555</v>
      </c>
      <c r="D1254" s="1" t="s">
        <v>9</v>
      </c>
      <c r="E1254" s="3">
        <v>192576</v>
      </c>
      <c r="G1254" s="10">
        <f t="shared" si="25"/>
        <v>2002310</v>
      </c>
    </row>
    <row r="1255" spans="1:7" x14ac:dyDescent="0.2">
      <c r="A1255" s="13">
        <v>44945</v>
      </c>
      <c r="C1255" s="2" t="s">
        <v>701</v>
      </c>
      <c r="D1255" s="1" t="s">
        <v>9</v>
      </c>
      <c r="E1255" s="3">
        <v>343528</v>
      </c>
      <c r="G1255" s="10">
        <f t="shared" si="25"/>
        <v>2345838</v>
      </c>
    </row>
    <row r="1256" spans="1:7" x14ac:dyDescent="0.2">
      <c r="A1256" s="13">
        <v>44946</v>
      </c>
      <c r="C1256" s="2" t="s">
        <v>847</v>
      </c>
      <c r="D1256" s="1" t="s">
        <v>9</v>
      </c>
      <c r="F1256" s="3">
        <f>4603504</f>
        <v>4603504</v>
      </c>
      <c r="G1256" s="10">
        <f t="shared" si="25"/>
        <v>-2257666</v>
      </c>
    </row>
    <row r="1257" spans="1:7" x14ac:dyDescent="0.2">
      <c r="A1257" s="13">
        <v>44946</v>
      </c>
      <c r="C1257" s="2" t="s">
        <v>848</v>
      </c>
      <c r="D1257" s="1" t="s">
        <v>9</v>
      </c>
      <c r="E1257" s="3">
        <f>356903+200128+437067+1177176+100631</f>
        <v>2271905</v>
      </c>
      <c r="G1257" s="10">
        <f t="shared" si="25"/>
        <v>14239</v>
      </c>
    </row>
    <row r="1258" spans="1:7" x14ac:dyDescent="0.2">
      <c r="A1258" s="13">
        <v>44946</v>
      </c>
      <c r="C1258" s="2" t="s">
        <v>849</v>
      </c>
      <c r="D1258" s="1" t="s">
        <v>9</v>
      </c>
      <c r="E1258" s="3">
        <f>770822+843273+492270</f>
        <v>2106365</v>
      </c>
      <c r="G1258" s="10">
        <f t="shared" si="25"/>
        <v>2120604</v>
      </c>
    </row>
    <row r="1259" spans="1:7" x14ac:dyDescent="0.2">
      <c r="A1259" s="13">
        <v>44949</v>
      </c>
      <c r="C1259" s="2" t="s">
        <v>165</v>
      </c>
      <c r="D1259" s="1" t="s">
        <v>9</v>
      </c>
      <c r="E1259" s="3">
        <v>78400</v>
      </c>
      <c r="G1259" s="10">
        <f t="shared" si="25"/>
        <v>2199004</v>
      </c>
    </row>
    <row r="1260" spans="1:7" x14ac:dyDescent="0.2">
      <c r="A1260" s="14">
        <v>44950</v>
      </c>
      <c r="B1260" s="15"/>
      <c r="C1260" s="16" t="s">
        <v>796</v>
      </c>
      <c r="D1260" s="15" t="s">
        <v>9</v>
      </c>
      <c r="E1260" s="17">
        <v>18556</v>
      </c>
      <c r="G1260" s="10">
        <f t="shared" si="25"/>
        <v>2217560</v>
      </c>
    </row>
    <row r="1261" spans="1:7" x14ac:dyDescent="0.2">
      <c r="A1261" s="13">
        <v>44951</v>
      </c>
      <c r="C1261" s="2" t="s">
        <v>850</v>
      </c>
      <c r="D1261" s="1" t="s">
        <v>9</v>
      </c>
      <c r="E1261" s="3">
        <v>263200</v>
      </c>
      <c r="G1261" s="10">
        <f t="shared" si="25"/>
        <v>2480760</v>
      </c>
    </row>
    <row r="1262" spans="1:7" x14ac:dyDescent="0.2">
      <c r="A1262" s="13">
        <v>44951</v>
      </c>
      <c r="C1262" s="2" t="s">
        <v>851</v>
      </c>
      <c r="D1262" s="1" t="s">
        <v>9</v>
      </c>
      <c r="E1262" s="3">
        <f>227032+262904+2236690+32598+64443+70210+65986</f>
        <v>2959863</v>
      </c>
      <c r="G1262" s="10">
        <f t="shared" si="25"/>
        <v>5440623</v>
      </c>
    </row>
    <row r="1263" spans="1:7" x14ac:dyDescent="0.2">
      <c r="A1263" s="13">
        <v>44952</v>
      </c>
      <c r="C1263" s="2" t="s">
        <v>852</v>
      </c>
      <c r="D1263" s="1" t="s">
        <v>9</v>
      </c>
      <c r="E1263" s="3">
        <f>318600+885000+113591+71366</f>
        <v>1388557</v>
      </c>
      <c r="G1263" s="10">
        <f t="shared" si="25"/>
        <v>6829180</v>
      </c>
    </row>
    <row r="1264" spans="1:7" x14ac:dyDescent="0.2">
      <c r="A1264" s="13">
        <v>44952</v>
      </c>
      <c r="C1264" s="2" t="s">
        <v>45</v>
      </c>
      <c r="D1264" s="1" t="s">
        <v>9</v>
      </c>
      <c r="E1264" s="3">
        <v>747837</v>
      </c>
      <c r="G1264" s="10">
        <f t="shared" si="25"/>
        <v>7577017</v>
      </c>
    </row>
    <row r="1265" spans="1:10" x14ac:dyDescent="0.2">
      <c r="A1265" s="13">
        <v>44956</v>
      </c>
      <c r="C1265" s="2" t="s">
        <v>853</v>
      </c>
      <c r="D1265" s="1" t="s">
        <v>9</v>
      </c>
      <c r="F1265" s="3">
        <f>4058360+105454</f>
        <v>4163814</v>
      </c>
      <c r="G1265" s="10">
        <f t="shared" si="25"/>
        <v>3413203</v>
      </c>
    </row>
    <row r="1266" spans="1:10" x14ac:dyDescent="0.2">
      <c r="A1266" s="13">
        <v>44956</v>
      </c>
      <c r="B1266" s="1" t="s">
        <v>854</v>
      </c>
      <c r="C1266" s="2" t="s">
        <v>777</v>
      </c>
      <c r="D1266" s="1" t="s">
        <v>9</v>
      </c>
      <c r="F1266" s="3">
        <v>335000</v>
      </c>
      <c r="G1266" s="10">
        <f t="shared" si="25"/>
        <v>3078203</v>
      </c>
    </row>
    <row r="1267" spans="1:10" x14ac:dyDescent="0.2">
      <c r="A1267" s="13">
        <v>44956</v>
      </c>
      <c r="C1267" s="2" t="s">
        <v>855</v>
      </c>
      <c r="D1267" s="1" t="s">
        <v>9</v>
      </c>
      <c r="E1267" s="3">
        <f>1659644+12095+71744+254859+5664+362436</f>
        <v>2366442</v>
      </c>
      <c r="G1267" s="10">
        <f t="shared" si="25"/>
        <v>5444645</v>
      </c>
    </row>
    <row r="1268" spans="1:10" x14ac:dyDescent="0.2">
      <c r="A1268" s="13">
        <v>44956</v>
      </c>
      <c r="C1268" s="2" t="s">
        <v>35</v>
      </c>
      <c r="D1268" s="1" t="s">
        <v>9</v>
      </c>
      <c r="F1268" s="3">
        <v>6600</v>
      </c>
      <c r="G1268" s="10">
        <f t="shared" si="25"/>
        <v>5438045</v>
      </c>
    </row>
    <row r="1269" spans="1:10" x14ac:dyDescent="0.2">
      <c r="A1269" s="14">
        <v>44956</v>
      </c>
      <c r="B1269" s="15"/>
      <c r="C1269" s="16" t="s">
        <v>796</v>
      </c>
      <c r="D1269" s="15" t="s">
        <v>9</v>
      </c>
      <c r="E1269" s="17">
        <v>158273</v>
      </c>
      <c r="F1269" s="17"/>
      <c r="G1269" s="10">
        <f t="shared" si="25"/>
        <v>5596318</v>
      </c>
    </row>
    <row r="1270" spans="1:10" x14ac:dyDescent="0.2">
      <c r="A1270" s="13">
        <v>44957</v>
      </c>
      <c r="C1270" s="2" t="s">
        <v>859</v>
      </c>
      <c r="D1270" s="1" t="s">
        <v>9</v>
      </c>
      <c r="F1270" s="3">
        <v>86887</v>
      </c>
      <c r="G1270" s="10">
        <f t="shared" si="25"/>
        <v>5509431</v>
      </c>
    </row>
    <row r="1271" spans="1:10" s="29" customFormat="1" ht="15.75" x14ac:dyDescent="0.25">
      <c r="A1271" s="11" t="s">
        <v>858</v>
      </c>
      <c r="B1271" s="1"/>
      <c r="C1271" s="2"/>
      <c r="D1271" s="1"/>
      <c r="E1271" s="3"/>
      <c r="F1271" s="3"/>
      <c r="G1271" s="9"/>
      <c r="H1271" s="28"/>
      <c r="I1271" s="27"/>
    </row>
    <row r="1272" spans="1:10" s="29" customFormat="1" x14ac:dyDescent="0.2">
      <c r="A1272" s="12" t="s">
        <v>2</v>
      </c>
      <c r="B1272" s="5" t="s">
        <v>1</v>
      </c>
      <c r="C1272" s="5" t="s">
        <v>3</v>
      </c>
      <c r="D1272" s="5"/>
      <c r="E1272" s="8" t="s">
        <v>4</v>
      </c>
      <c r="F1272" s="8" t="s">
        <v>6</v>
      </c>
      <c r="G1272" s="9" t="s">
        <v>5</v>
      </c>
      <c r="H1272" s="28"/>
      <c r="I1272" s="27"/>
    </row>
    <row r="1273" spans="1:10" x14ac:dyDescent="0.2">
      <c r="A1273" s="13">
        <v>44958</v>
      </c>
      <c r="C1273" s="2" t="s">
        <v>856</v>
      </c>
      <c r="D1273" s="1" t="s">
        <v>9</v>
      </c>
      <c r="F1273" s="3">
        <f>1182017</f>
        <v>1182017</v>
      </c>
      <c r="G1273" s="10">
        <f>G1270+E1273-F1273</f>
        <v>4327414</v>
      </c>
    </row>
    <row r="1274" spans="1:10" x14ac:dyDescent="0.2">
      <c r="A1274" s="13">
        <v>44958</v>
      </c>
      <c r="C1274" s="2" t="s">
        <v>857</v>
      </c>
      <c r="D1274" s="1" t="s">
        <v>9</v>
      </c>
      <c r="F1274" s="3">
        <f>3154779</f>
        <v>3154779</v>
      </c>
      <c r="G1274" s="10">
        <f t="shared" si="25"/>
        <v>1172635</v>
      </c>
    </row>
    <row r="1275" spans="1:10" x14ac:dyDescent="0.2">
      <c r="A1275" s="13">
        <v>44958</v>
      </c>
      <c r="C1275" s="2" t="s">
        <v>34</v>
      </c>
      <c r="D1275" s="1" t="s">
        <v>9</v>
      </c>
      <c r="F1275" s="3">
        <v>550</v>
      </c>
      <c r="G1275" s="10">
        <f t="shared" si="25"/>
        <v>1172085</v>
      </c>
    </row>
    <row r="1276" spans="1:10" x14ac:dyDescent="0.2">
      <c r="A1276" s="13">
        <v>44958</v>
      </c>
      <c r="C1276" s="2" t="s">
        <v>84</v>
      </c>
      <c r="D1276" s="1" t="s">
        <v>9</v>
      </c>
      <c r="F1276" s="3">
        <v>487589</v>
      </c>
      <c r="G1276" s="10">
        <f t="shared" si="25"/>
        <v>684496</v>
      </c>
      <c r="J1276" s="10"/>
    </row>
    <row r="1277" spans="1:10" x14ac:dyDescent="0.2">
      <c r="A1277" s="13">
        <v>44958</v>
      </c>
      <c r="C1277" s="2" t="s">
        <v>701</v>
      </c>
      <c r="D1277" s="1" t="s">
        <v>9</v>
      </c>
      <c r="E1277" s="3">
        <v>714537</v>
      </c>
      <c r="G1277" s="10">
        <f t="shared" si="25"/>
        <v>1399033</v>
      </c>
      <c r="I1277" s="10">
        <v>5886373</v>
      </c>
      <c r="J1277" s="10"/>
    </row>
    <row r="1278" spans="1:10" x14ac:dyDescent="0.2">
      <c r="A1278" s="13">
        <v>44959</v>
      </c>
      <c r="C1278" s="2" t="s">
        <v>505</v>
      </c>
      <c r="D1278" s="1" t="s">
        <v>9</v>
      </c>
      <c r="E1278" s="3">
        <v>35700</v>
      </c>
      <c r="G1278" s="10">
        <f t="shared" si="25"/>
        <v>1434733</v>
      </c>
      <c r="I1278" s="10">
        <f>I1277-F1266-F1265</f>
        <v>1387559</v>
      </c>
      <c r="J1278" s="10"/>
    </row>
    <row r="1279" spans="1:10" x14ac:dyDescent="0.2">
      <c r="A1279" s="13">
        <v>44959</v>
      </c>
      <c r="C1279" s="2" t="s">
        <v>27</v>
      </c>
      <c r="D1279" s="1" t="s">
        <v>9</v>
      </c>
      <c r="F1279" s="3">
        <v>150000</v>
      </c>
      <c r="G1279" s="10">
        <f t="shared" si="25"/>
        <v>1284733</v>
      </c>
      <c r="J1279" s="10"/>
    </row>
    <row r="1280" spans="1:10" x14ac:dyDescent="0.2">
      <c r="A1280" s="13">
        <v>44963</v>
      </c>
      <c r="C1280" s="2" t="s">
        <v>866</v>
      </c>
      <c r="D1280" s="1" t="s">
        <v>9</v>
      </c>
      <c r="E1280" s="3">
        <v>75000</v>
      </c>
      <c r="G1280" s="10">
        <f t="shared" si="25"/>
        <v>1359733</v>
      </c>
      <c r="J1280" s="10"/>
    </row>
    <row r="1281" spans="1:9" x14ac:dyDescent="0.2">
      <c r="A1281" s="13">
        <v>44963</v>
      </c>
      <c r="C1281" s="2" t="s">
        <v>867</v>
      </c>
      <c r="D1281" s="1" t="s">
        <v>9</v>
      </c>
      <c r="E1281" s="3">
        <f>30208+165938+285171+324618+60024+64679</f>
        <v>930638</v>
      </c>
      <c r="G1281" s="10">
        <f t="shared" si="25"/>
        <v>2290371</v>
      </c>
      <c r="I1281" s="10">
        <f>I1278-G1278</f>
        <v>-47174</v>
      </c>
    </row>
    <row r="1282" spans="1:9" x14ac:dyDescent="0.2">
      <c r="A1282" s="13">
        <v>44964</v>
      </c>
      <c r="C1282" s="2" t="s">
        <v>868</v>
      </c>
      <c r="D1282" s="1" t="s">
        <v>9</v>
      </c>
      <c r="E1282" s="3">
        <f>1059015+99032+1411330</f>
        <v>2569377</v>
      </c>
      <c r="G1282" s="10">
        <f t="shared" si="25"/>
        <v>4859748</v>
      </c>
    </row>
    <row r="1283" spans="1:9" x14ac:dyDescent="0.2">
      <c r="A1283" s="13">
        <v>44964</v>
      </c>
      <c r="C1283" s="2" t="s">
        <v>35</v>
      </c>
      <c r="D1283" s="1" t="s">
        <v>9</v>
      </c>
      <c r="F1283" s="3">
        <v>6600</v>
      </c>
      <c r="G1283" s="10">
        <f t="shared" si="25"/>
        <v>4853148</v>
      </c>
    </row>
    <row r="1284" spans="1:9" x14ac:dyDescent="0.2">
      <c r="A1284" s="13">
        <v>44964</v>
      </c>
      <c r="C1284" s="2" t="s">
        <v>35</v>
      </c>
      <c r="D1284" s="1" t="s">
        <v>9</v>
      </c>
      <c r="F1284" s="3">
        <v>6600</v>
      </c>
      <c r="G1284" s="10">
        <f t="shared" si="25"/>
        <v>4846548</v>
      </c>
    </row>
    <row r="1285" spans="1:9" x14ac:dyDescent="0.2">
      <c r="A1285" s="21">
        <v>44965</v>
      </c>
      <c r="B1285" s="22" t="s">
        <v>870</v>
      </c>
      <c r="C1285" s="23" t="s">
        <v>150</v>
      </c>
      <c r="D1285" s="22" t="s">
        <v>9</v>
      </c>
      <c r="E1285" s="24"/>
      <c r="F1285" s="24">
        <v>116000</v>
      </c>
      <c r="G1285" s="10">
        <f t="shared" si="25"/>
        <v>4730548</v>
      </c>
    </row>
    <row r="1286" spans="1:9" x14ac:dyDescent="0.2">
      <c r="A1286" s="13">
        <v>44965</v>
      </c>
      <c r="C1286" s="2" t="s">
        <v>61</v>
      </c>
      <c r="D1286" s="1" t="s">
        <v>9</v>
      </c>
      <c r="E1286" s="3">
        <v>44232</v>
      </c>
      <c r="G1286" s="10">
        <f t="shared" si="25"/>
        <v>4774780</v>
      </c>
    </row>
    <row r="1287" spans="1:9" x14ac:dyDescent="0.2">
      <c r="A1287" s="13">
        <v>44966</v>
      </c>
      <c r="C1287" s="2" t="s">
        <v>35</v>
      </c>
      <c r="D1287" s="1" t="s">
        <v>9</v>
      </c>
      <c r="F1287" s="3">
        <v>6600</v>
      </c>
      <c r="G1287" s="10">
        <f t="shared" ref="G1287:G1290" si="26">G1286+E1287-F1287</f>
        <v>4768180</v>
      </c>
    </row>
    <row r="1288" spans="1:9" x14ac:dyDescent="0.2">
      <c r="A1288" s="13">
        <v>44966</v>
      </c>
      <c r="C1288" s="2" t="s">
        <v>35</v>
      </c>
      <c r="D1288" s="1" t="s">
        <v>9</v>
      </c>
      <c r="F1288" s="3">
        <v>6600</v>
      </c>
      <c r="G1288" s="10">
        <f t="shared" si="26"/>
        <v>4761580</v>
      </c>
    </row>
    <row r="1289" spans="1:9" x14ac:dyDescent="0.2">
      <c r="A1289" s="13">
        <v>44967</v>
      </c>
      <c r="C1289" s="2" t="s">
        <v>860</v>
      </c>
      <c r="D1289" s="1" t="s">
        <v>9</v>
      </c>
      <c r="F1289" s="3">
        <f>696200+275</f>
        <v>696475</v>
      </c>
      <c r="G1289" s="10">
        <f t="shared" si="26"/>
        <v>4065105</v>
      </c>
    </row>
    <row r="1290" spans="1:9" x14ac:dyDescent="0.2">
      <c r="A1290" s="13">
        <v>44967</v>
      </c>
      <c r="C1290" s="2" t="s">
        <v>861</v>
      </c>
      <c r="D1290" s="1" t="s">
        <v>9</v>
      </c>
      <c r="F1290" s="3">
        <f>494179+275</f>
        <v>494454</v>
      </c>
      <c r="G1290" s="10">
        <f t="shared" si="26"/>
        <v>3570651</v>
      </c>
    </row>
    <row r="1291" spans="1:9" x14ac:dyDescent="0.2">
      <c r="A1291" s="13">
        <v>44967</v>
      </c>
      <c r="C1291" s="2" t="s">
        <v>862</v>
      </c>
      <c r="D1291" s="1" t="s">
        <v>9</v>
      </c>
      <c r="F1291" s="3">
        <f>880704</f>
        <v>880704</v>
      </c>
      <c r="G1291" s="10">
        <f t="shared" ref="G1291:G1358" si="27">G1290+E1291-F1291</f>
        <v>2689947</v>
      </c>
    </row>
    <row r="1292" spans="1:9" x14ac:dyDescent="0.2">
      <c r="A1292" s="13">
        <v>44967</v>
      </c>
      <c r="C1292" s="2" t="s">
        <v>863</v>
      </c>
      <c r="D1292" s="1" t="s">
        <v>9</v>
      </c>
      <c r="F1292" s="3">
        <f>124876</f>
        <v>124876</v>
      </c>
      <c r="G1292" s="10">
        <f t="shared" si="27"/>
        <v>2565071</v>
      </c>
    </row>
    <row r="1293" spans="1:9" x14ac:dyDescent="0.2">
      <c r="A1293" s="13">
        <v>44967</v>
      </c>
      <c r="C1293" s="2" t="s">
        <v>864</v>
      </c>
      <c r="D1293" s="1" t="s">
        <v>9</v>
      </c>
      <c r="F1293" s="3">
        <f>106200+275</f>
        <v>106475</v>
      </c>
      <c r="G1293" s="10">
        <f t="shared" si="27"/>
        <v>2458596</v>
      </c>
    </row>
    <row r="1294" spans="1:9" x14ac:dyDescent="0.2">
      <c r="A1294" s="13">
        <v>44967</v>
      </c>
      <c r="C1294" s="2" t="s">
        <v>865</v>
      </c>
      <c r="D1294" s="1" t="s">
        <v>9</v>
      </c>
      <c r="F1294" s="3">
        <f>659722+275</f>
        <v>659997</v>
      </c>
      <c r="G1294" s="10">
        <f t="shared" si="27"/>
        <v>1798599</v>
      </c>
    </row>
    <row r="1295" spans="1:9" x14ac:dyDescent="0.2">
      <c r="A1295" s="13">
        <v>44967</v>
      </c>
      <c r="C1295" s="2" t="s">
        <v>822</v>
      </c>
      <c r="D1295" s="1" t="s">
        <v>9</v>
      </c>
      <c r="F1295" s="3">
        <f>162500+275</f>
        <v>162775</v>
      </c>
      <c r="G1295" s="10">
        <f t="shared" si="27"/>
        <v>1635824</v>
      </c>
    </row>
    <row r="1296" spans="1:9" x14ac:dyDescent="0.2">
      <c r="A1296" s="13">
        <v>44967</v>
      </c>
      <c r="C1296" s="2" t="s">
        <v>706</v>
      </c>
      <c r="D1296" s="1" t="s">
        <v>9</v>
      </c>
      <c r="F1296" s="3">
        <f>470684</f>
        <v>470684</v>
      </c>
      <c r="G1296" s="10">
        <f t="shared" si="27"/>
        <v>1165140</v>
      </c>
    </row>
    <row r="1297" spans="1:7" x14ac:dyDescent="0.2">
      <c r="A1297" s="13">
        <v>44967</v>
      </c>
      <c r="C1297" s="2" t="s">
        <v>869</v>
      </c>
      <c r="D1297" s="1" t="s">
        <v>9</v>
      </c>
      <c r="F1297" s="3">
        <f>2266673+70062</f>
        <v>2336735</v>
      </c>
      <c r="G1297" s="10">
        <f t="shared" si="27"/>
        <v>-1171595</v>
      </c>
    </row>
    <row r="1298" spans="1:7" x14ac:dyDescent="0.2">
      <c r="A1298" s="13">
        <v>44967</v>
      </c>
      <c r="C1298" s="2" t="s">
        <v>871</v>
      </c>
      <c r="D1298" s="1" t="s">
        <v>9</v>
      </c>
      <c r="E1298" s="3">
        <f>267624+432588+97350+3186+58410+266812</f>
        <v>1125970</v>
      </c>
      <c r="G1298" s="10">
        <f t="shared" si="27"/>
        <v>-45625</v>
      </c>
    </row>
    <row r="1299" spans="1:7" x14ac:dyDescent="0.2">
      <c r="A1299" s="13">
        <v>44967</v>
      </c>
      <c r="C1299" s="2" t="s">
        <v>872</v>
      </c>
      <c r="D1299" s="1" t="s">
        <v>9</v>
      </c>
      <c r="F1299" s="3">
        <f>691266+275</f>
        <v>691541</v>
      </c>
      <c r="G1299" s="10">
        <f t="shared" si="27"/>
        <v>-737166</v>
      </c>
    </row>
    <row r="1300" spans="1:7" x14ac:dyDescent="0.2">
      <c r="A1300" s="13">
        <v>44967</v>
      </c>
      <c r="C1300" s="2" t="s">
        <v>873</v>
      </c>
      <c r="D1300" s="1" t="s">
        <v>9</v>
      </c>
      <c r="E1300" s="3">
        <v>500000</v>
      </c>
      <c r="G1300" s="10">
        <f t="shared" si="27"/>
        <v>-237166</v>
      </c>
    </row>
    <row r="1301" spans="1:7" x14ac:dyDescent="0.2">
      <c r="A1301" s="13">
        <v>44967</v>
      </c>
      <c r="C1301" s="2" t="s">
        <v>783</v>
      </c>
      <c r="D1301" s="1" t="s">
        <v>9</v>
      </c>
      <c r="E1301" s="3">
        <v>166913</v>
      </c>
      <c r="G1301" s="10">
        <f t="shared" si="27"/>
        <v>-70253</v>
      </c>
    </row>
    <row r="1302" spans="1:7" x14ac:dyDescent="0.2">
      <c r="A1302" s="13">
        <v>44970</v>
      </c>
      <c r="C1302" s="2" t="s">
        <v>874</v>
      </c>
      <c r="D1302" s="1" t="s">
        <v>9</v>
      </c>
      <c r="E1302" s="3">
        <f>131924+380432+3439600</f>
        <v>3951956</v>
      </c>
      <c r="G1302" s="10">
        <f t="shared" si="27"/>
        <v>3881703</v>
      </c>
    </row>
    <row r="1303" spans="1:7" x14ac:dyDescent="0.2">
      <c r="A1303" s="13">
        <v>44971</v>
      </c>
      <c r="C1303" s="2" t="s">
        <v>875</v>
      </c>
      <c r="D1303" s="1" t="s">
        <v>9</v>
      </c>
      <c r="F1303" s="3">
        <f>4272373+109676</f>
        <v>4382049</v>
      </c>
      <c r="G1303" s="10">
        <f t="shared" si="27"/>
        <v>-500346</v>
      </c>
    </row>
    <row r="1304" spans="1:7" x14ac:dyDescent="0.2">
      <c r="A1304" s="13">
        <v>44971</v>
      </c>
      <c r="C1304" s="2" t="s">
        <v>18</v>
      </c>
      <c r="D1304" s="1" t="s">
        <v>9</v>
      </c>
      <c r="E1304" s="3">
        <v>130220</v>
      </c>
      <c r="G1304" s="10">
        <f t="shared" si="27"/>
        <v>-370126</v>
      </c>
    </row>
    <row r="1305" spans="1:7" x14ac:dyDescent="0.2">
      <c r="A1305" s="21">
        <v>44972</v>
      </c>
      <c r="B1305" s="22"/>
      <c r="C1305" s="23" t="s">
        <v>876</v>
      </c>
      <c r="D1305" s="22" t="s">
        <v>9</v>
      </c>
      <c r="E1305" s="24">
        <f>235705+238360+982059+159969+172516</f>
        <v>1788609</v>
      </c>
      <c r="F1305" s="24"/>
      <c r="G1305" s="10">
        <f t="shared" si="27"/>
        <v>1418483</v>
      </c>
    </row>
    <row r="1306" spans="1:7" x14ac:dyDescent="0.2">
      <c r="A1306" s="21">
        <v>44973</v>
      </c>
      <c r="B1306" s="22" t="s">
        <v>877</v>
      </c>
      <c r="C1306" s="23" t="s">
        <v>700</v>
      </c>
      <c r="D1306" s="22" t="s">
        <v>9</v>
      </c>
      <c r="E1306" s="24"/>
      <c r="F1306" s="24">
        <v>165000</v>
      </c>
      <c r="G1306" s="10">
        <f t="shared" si="27"/>
        <v>1253483</v>
      </c>
    </row>
    <row r="1307" spans="1:7" x14ac:dyDescent="0.2">
      <c r="A1307" s="21">
        <v>44973</v>
      </c>
      <c r="B1307" s="22" t="s">
        <v>878</v>
      </c>
      <c r="C1307" s="23" t="s">
        <v>724</v>
      </c>
      <c r="D1307" s="22" t="s">
        <v>9</v>
      </c>
      <c r="E1307" s="24"/>
      <c r="F1307" s="24">
        <v>600000</v>
      </c>
      <c r="G1307" s="10">
        <f t="shared" si="27"/>
        <v>653483</v>
      </c>
    </row>
    <row r="1308" spans="1:7" x14ac:dyDescent="0.2">
      <c r="A1308" s="13">
        <v>44977</v>
      </c>
      <c r="C1308" s="2" t="s">
        <v>505</v>
      </c>
      <c r="D1308" s="1" t="s">
        <v>9</v>
      </c>
      <c r="E1308" s="3">
        <v>113135</v>
      </c>
      <c r="G1308" s="10">
        <f t="shared" si="27"/>
        <v>766618</v>
      </c>
    </row>
    <row r="1309" spans="1:7" x14ac:dyDescent="0.2">
      <c r="A1309" s="21">
        <v>44979</v>
      </c>
      <c r="B1309" s="22"/>
      <c r="C1309" s="23" t="s">
        <v>888</v>
      </c>
      <c r="D1309" s="22" t="s">
        <v>9</v>
      </c>
      <c r="E1309" s="24">
        <v>686222</v>
      </c>
      <c r="G1309" s="10">
        <f t="shared" si="27"/>
        <v>1452840</v>
      </c>
    </row>
    <row r="1310" spans="1:7" x14ac:dyDescent="0.2">
      <c r="A1310" s="21">
        <v>44979</v>
      </c>
      <c r="B1310" s="22"/>
      <c r="C1310" s="23" t="s">
        <v>889</v>
      </c>
      <c r="D1310" s="22" t="s">
        <v>9</v>
      </c>
      <c r="E1310" s="24">
        <f>41374+33501+51401+62127+99297+314088+664446+1407858+136823+124608</f>
        <v>2935523</v>
      </c>
      <c r="G1310" s="10">
        <f t="shared" si="27"/>
        <v>4388363</v>
      </c>
    </row>
    <row r="1311" spans="1:7" x14ac:dyDescent="0.2">
      <c r="A1311" s="13">
        <v>44981</v>
      </c>
      <c r="C1311" s="2" t="s">
        <v>881</v>
      </c>
      <c r="D1311" s="1" t="s">
        <v>9</v>
      </c>
      <c r="E1311" s="3">
        <v>722160</v>
      </c>
      <c r="G1311" s="10">
        <f t="shared" si="27"/>
        <v>5110523</v>
      </c>
    </row>
    <row r="1312" spans="1:7" x14ac:dyDescent="0.2">
      <c r="A1312" s="21">
        <v>44984</v>
      </c>
      <c r="B1312" s="22"/>
      <c r="C1312" s="23" t="s">
        <v>890</v>
      </c>
      <c r="D1312" s="22" t="s">
        <v>9</v>
      </c>
      <c r="E1312" s="24"/>
      <c r="F1312" s="24">
        <f>1805456+60958</f>
        <v>1866414</v>
      </c>
      <c r="G1312" s="10">
        <f t="shared" si="27"/>
        <v>3244109</v>
      </c>
    </row>
    <row r="1313" spans="1:9" x14ac:dyDescent="0.2">
      <c r="A1313" s="21">
        <v>44984</v>
      </c>
      <c r="B1313" s="22" t="s">
        <v>879</v>
      </c>
      <c r="C1313" s="23" t="s">
        <v>777</v>
      </c>
      <c r="D1313" s="22" t="s">
        <v>9</v>
      </c>
      <c r="E1313" s="24"/>
      <c r="F1313" s="24">
        <v>335000</v>
      </c>
      <c r="G1313" s="10">
        <f t="shared" si="27"/>
        <v>2909109</v>
      </c>
    </row>
    <row r="1314" spans="1:9" x14ac:dyDescent="0.2">
      <c r="A1314" s="21">
        <v>44984</v>
      </c>
      <c r="B1314" s="22" t="s">
        <v>880</v>
      </c>
      <c r="C1314" s="23" t="s">
        <v>891</v>
      </c>
      <c r="D1314" s="22" t="s">
        <v>9</v>
      </c>
      <c r="E1314" s="24"/>
      <c r="F1314" s="24">
        <v>630100</v>
      </c>
      <c r="G1314" s="10">
        <f t="shared" si="27"/>
        <v>2279009</v>
      </c>
    </row>
    <row r="1315" spans="1:9" x14ac:dyDescent="0.2">
      <c r="A1315" s="13">
        <v>44985</v>
      </c>
      <c r="C1315" s="2" t="s">
        <v>882</v>
      </c>
      <c r="D1315" s="1" t="s">
        <v>9</v>
      </c>
      <c r="F1315" s="3">
        <v>2935119</v>
      </c>
      <c r="G1315" s="10">
        <f t="shared" si="27"/>
        <v>-656110</v>
      </c>
    </row>
    <row r="1316" spans="1:9" x14ac:dyDescent="0.2">
      <c r="A1316" s="13">
        <v>44985</v>
      </c>
      <c r="C1316" s="2" t="s">
        <v>34</v>
      </c>
      <c r="D1316" s="1" t="s">
        <v>9</v>
      </c>
      <c r="F1316" s="3">
        <v>550</v>
      </c>
      <c r="G1316" s="10">
        <f t="shared" si="27"/>
        <v>-656660</v>
      </c>
    </row>
    <row r="1317" spans="1:9" x14ac:dyDescent="0.2">
      <c r="A1317" s="13">
        <v>44985</v>
      </c>
      <c r="C1317" s="2" t="s">
        <v>27</v>
      </c>
      <c r="D1317" s="1" t="s">
        <v>9</v>
      </c>
      <c r="F1317" s="3">
        <v>150000</v>
      </c>
      <c r="G1317" s="10">
        <f t="shared" si="27"/>
        <v>-806660</v>
      </c>
    </row>
    <row r="1318" spans="1:9" s="29" customFormat="1" ht="15.75" x14ac:dyDescent="0.25">
      <c r="A1318" s="11" t="s">
        <v>883</v>
      </c>
      <c r="B1318" s="1"/>
      <c r="C1318" s="2"/>
      <c r="D1318" s="1"/>
      <c r="E1318" s="3"/>
      <c r="F1318" s="3"/>
      <c r="G1318" s="9"/>
      <c r="H1318" s="28"/>
      <c r="I1318" s="27"/>
    </row>
    <row r="1319" spans="1:9" s="29" customFormat="1" x14ac:dyDescent="0.2">
      <c r="A1319" s="12" t="s">
        <v>2</v>
      </c>
      <c r="B1319" s="5" t="s">
        <v>1</v>
      </c>
      <c r="C1319" s="5" t="s">
        <v>3</v>
      </c>
      <c r="D1319" s="5"/>
      <c r="E1319" s="8" t="s">
        <v>4</v>
      </c>
      <c r="F1319" s="8" t="s">
        <v>6</v>
      </c>
      <c r="G1319" s="9" t="s">
        <v>5</v>
      </c>
      <c r="H1319" s="28"/>
      <c r="I1319" s="27"/>
    </row>
    <row r="1320" spans="1:9" x14ac:dyDescent="0.2">
      <c r="A1320" s="21">
        <v>44986</v>
      </c>
      <c r="B1320" s="22"/>
      <c r="C1320" s="23" t="s">
        <v>887</v>
      </c>
      <c r="D1320" s="22" t="s">
        <v>9</v>
      </c>
      <c r="E1320" s="24">
        <f>12748077+168504+131924+61549+67703+109327+334131</f>
        <v>13621215</v>
      </c>
      <c r="F1320" s="24"/>
      <c r="G1320" s="10">
        <f>G1317+E1320-F1320</f>
        <v>12814555</v>
      </c>
    </row>
    <row r="1321" spans="1:9" x14ac:dyDescent="0.2">
      <c r="A1321" s="21">
        <v>44987</v>
      </c>
      <c r="B1321" s="22"/>
      <c r="C1321" s="23" t="s">
        <v>886</v>
      </c>
      <c r="D1321" s="22" t="s">
        <v>9</v>
      </c>
      <c r="E1321" s="24">
        <f>593920+110802+63189+8124</f>
        <v>776035</v>
      </c>
      <c r="F1321" s="24"/>
      <c r="G1321" s="10">
        <f t="shared" si="27"/>
        <v>13590590</v>
      </c>
    </row>
    <row r="1322" spans="1:9" x14ac:dyDescent="0.2">
      <c r="A1322" s="13">
        <v>44987</v>
      </c>
      <c r="C1322" s="2" t="s">
        <v>884</v>
      </c>
      <c r="D1322" s="1" t="s">
        <v>900</v>
      </c>
      <c r="F1322" s="3">
        <f>3431423+93072</f>
        <v>3524495</v>
      </c>
      <c r="G1322" s="10">
        <f t="shared" si="27"/>
        <v>10066095</v>
      </c>
    </row>
    <row r="1323" spans="1:9" x14ac:dyDescent="0.2">
      <c r="A1323" s="13">
        <v>44987</v>
      </c>
      <c r="C1323" s="2" t="s">
        <v>885</v>
      </c>
      <c r="D1323" s="1" t="s">
        <v>9</v>
      </c>
      <c r="E1323" s="3">
        <f>294440+70210+1946750</f>
        <v>2311400</v>
      </c>
      <c r="G1323" s="10">
        <f t="shared" si="27"/>
        <v>12377495</v>
      </c>
    </row>
    <row r="1324" spans="1:9" x14ac:dyDescent="0.2">
      <c r="A1324" s="13">
        <v>44988</v>
      </c>
      <c r="C1324" s="2" t="s">
        <v>84</v>
      </c>
      <c r="D1324" s="1" t="s">
        <v>9</v>
      </c>
      <c r="F1324" s="3">
        <v>487589</v>
      </c>
      <c r="G1324" s="10">
        <f t="shared" si="27"/>
        <v>11889906</v>
      </c>
    </row>
    <row r="1325" spans="1:9" x14ac:dyDescent="0.2">
      <c r="A1325" s="13">
        <v>44991</v>
      </c>
      <c r="C1325" s="2" t="s">
        <v>892</v>
      </c>
      <c r="D1325" s="1" t="s">
        <v>9</v>
      </c>
      <c r="F1325" s="3">
        <v>1254241</v>
      </c>
      <c r="G1325" s="10">
        <f t="shared" si="27"/>
        <v>10635665</v>
      </c>
    </row>
    <row r="1326" spans="1:9" x14ac:dyDescent="0.2">
      <c r="A1326" s="13">
        <v>44991</v>
      </c>
      <c r="C1326" s="2" t="s">
        <v>377</v>
      </c>
      <c r="D1326" s="1" t="s">
        <v>9</v>
      </c>
      <c r="E1326" s="3">
        <v>1200000</v>
      </c>
      <c r="G1326" s="10">
        <f t="shared" si="27"/>
        <v>11835665</v>
      </c>
    </row>
    <row r="1327" spans="1:9" x14ac:dyDescent="0.2">
      <c r="A1327" s="13">
        <v>44991</v>
      </c>
      <c r="C1327" s="2" t="s">
        <v>895</v>
      </c>
      <c r="D1327" s="1" t="s">
        <v>9</v>
      </c>
      <c r="E1327" s="3">
        <f>50041+810960</f>
        <v>861001</v>
      </c>
      <c r="G1327" s="10">
        <f t="shared" si="27"/>
        <v>12696666</v>
      </c>
    </row>
    <row r="1328" spans="1:9" x14ac:dyDescent="0.2">
      <c r="A1328" s="13">
        <v>44991</v>
      </c>
      <c r="C1328" s="2" t="s">
        <v>528</v>
      </c>
      <c r="D1328" s="1" t="s">
        <v>9</v>
      </c>
      <c r="F1328" s="3">
        <v>5000</v>
      </c>
      <c r="G1328" s="10">
        <f t="shared" si="27"/>
        <v>12691666</v>
      </c>
    </row>
    <row r="1329" spans="1:7" x14ac:dyDescent="0.2">
      <c r="A1329" s="13">
        <v>44991</v>
      </c>
      <c r="C1329" s="2" t="s">
        <v>53</v>
      </c>
      <c r="D1329" s="1" t="s">
        <v>9</v>
      </c>
      <c r="F1329" s="3">
        <v>100</v>
      </c>
      <c r="G1329" s="10">
        <f t="shared" si="27"/>
        <v>12691566</v>
      </c>
    </row>
    <row r="1330" spans="1:7" x14ac:dyDescent="0.2">
      <c r="A1330" s="13">
        <v>44992</v>
      </c>
      <c r="B1330" s="1" t="s">
        <v>896</v>
      </c>
      <c r="C1330" s="2" t="s">
        <v>154</v>
      </c>
      <c r="D1330" s="1" t="s">
        <v>9</v>
      </c>
      <c r="F1330" s="3">
        <v>354555</v>
      </c>
      <c r="G1330" s="10">
        <f t="shared" si="27"/>
        <v>12337011</v>
      </c>
    </row>
    <row r="1331" spans="1:7" x14ac:dyDescent="0.2">
      <c r="A1331" s="13">
        <v>44992</v>
      </c>
      <c r="C1331" s="2" t="s">
        <v>505</v>
      </c>
      <c r="D1331" s="1" t="s">
        <v>9</v>
      </c>
      <c r="E1331" s="3">
        <v>9138</v>
      </c>
      <c r="G1331" s="10">
        <f t="shared" si="27"/>
        <v>12346149</v>
      </c>
    </row>
    <row r="1332" spans="1:7" x14ac:dyDescent="0.2">
      <c r="A1332" s="13">
        <v>44993</v>
      </c>
      <c r="C1332" s="2" t="s">
        <v>897</v>
      </c>
      <c r="D1332" s="1" t="s">
        <v>9</v>
      </c>
      <c r="E1332" s="3">
        <f>1887434+99391+41725+570176</f>
        <v>2598726</v>
      </c>
      <c r="G1332" s="10">
        <f t="shared" si="27"/>
        <v>14944875</v>
      </c>
    </row>
    <row r="1333" spans="1:7" x14ac:dyDescent="0.2">
      <c r="A1333" s="13">
        <v>44993</v>
      </c>
      <c r="C1333" s="2" t="s">
        <v>893</v>
      </c>
      <c r="D1333" s="1" t="s">
        <v>9</v>
      </c>
      <c r="F1333" s="3">
        <f>6240978+148563</f>
        <v>6389541</v>
      </c>
      <c r="G1333" s="10">
        <f t="shared" si="27"/>
        <v>8555334</v>
      </c>
    </row>
    <row r="1334" spans="1:7" x14ac:dyDescent="0.2">
      <c r="A1334" s="13">
        <v>44993</v>
      </c>
      <c r="C1334" s="2" t="s">
        <v>894</v>
      </c>
      <c r="D1334" s="1" t="s">
        <v>9</v>
      </c>
      <c r="F1334" s="3">
        <f>1771838+60293</f>
        <v>1832131</v>
      </c>
      <c r="G1334" s="10">
        <f t="shared" si="27"/>
        <v>6723203</v>
      </c>
    </row>
    <row r="1335" spans="1:7" x14ac:dyDescent="0.2">
      <c r="A1335" s="13">
        <v>44993</v>
      </c>
      <c r="C1335" s="2" t="s">
        <v>898</v>
      </c>
      <c r="D1335" s="1" t="s">
        <v>9</v>
      </c>
      <c r="F1335" s="3">
        <f>5053185</f>
        <v>5053185</v>
      </c>
      <c r="G1335" s="10">
        <f t="shared" si="27"/>
        <v>1670018</v>
      </c>
    </row>
    <row r="1336" spans="1:7" x14ac:dyDescent="0.2">
      <c r="A1336" s="13">
        <v>44995</v>
      </c>
      <c r="C1336" s="2" t="s">
        <v>528</v>
      </c>
      <c r="D1336" s="1" t="s">
        <v>9</v>
      </c>
      <c r="F1336" s="3">
        <v>5000</v>
      </c>
      <c r="G1336" s="10">
        <f t="shared" si="27"/>
        <v>1665018</v>
      </c>
    </row>
    <row r="1337" spans="1:7" x14ac:dyDescent="0.2">
      <c r="A1337" s="13">
        <v>44995</v>
      </c>
      <c r="C1337" s="2" t="s">
        <v>528</v>
      </c>
      <c r="D1337" s="1" t="s">
        <v>9</v>
      </c>
      <c r="F1337" s="3">
        <v>5000</v>
      </c>
      <c r="G1337" s="10">
        <f t="shared" si="27"/>
        <v>1660018</v>
      </c>
    </row>
    <row r="1338" spans="1:7" x14ac:dyDescent="0.2">
      <c r="A1338" s="13">
        <v>44995</v>
      </c>
      <c r="C1338" s="2" t="s">
        <v>528</v>
      </c>
      <c r="D1338" s="1" t="s">
        <v>9</v>
      </c>
      <c r="F1338" s="3">
        <v>5000</v>
      </c>
      <c r="G1338" s="10">
        <f t="shared" si="27"/>
        <v>1655018</v>
      </c>
    </row>
    <row r="1339" spans="1:7" x14ac:dyDescent="0.2">
      <c r="A1339" s="13">
        <v>44995</v>
      </c>
      <c r="C1339" s="2" t="s">
        <v>711</v>
      </c>
      <c r="D1339" s="1" t="s">
        <v>9</v>
      </c>
      <c r="F1339" s="3">
        <v>65106</v>
      </c>
      <c r="G1339" s="10">
        <f t="shared" si="27"/>
        <v>1589912</v>
      </c>
    </row>
    <row r="1340" spans="1:7" x14ac:dyDescent="0.2">
      <c r="A1340" s="13">
        <v>44995</v>
      </c>
      <c r="C1340" s="2" t="s">
        <v>831</v>
      </c>
      <c r="D1340" s="1" t="s">
        <v>9</v>
      </c>
      <c r="F1340" s="3">
        <v>21600</v>
      </c>
      <c r="G1340" s="10">
        <f t="shared" si="27"/>
        <v>1568312</v>
      </c>
    </row>
    <row r="1341" spans="1:7" x14ac:dyDescent="0.2">
      <c r="A1341" s="13">
        <v>44995</v>
      </c>
      <c r="C1341" s="2" t="s">
        <v>899</v>
      </c>
      <c r="D1341" s="1" t="s">
        <v>9</v>
      </c>
      <c r="F1341" s="3">
        <v>6508471</v>
      </c>
      <c r="G1341" s="10">
        <f t="shared" si="27"/>
        <v>-4940159</v>
      </c>
    </row>
    <row r="1342" spans="1:7" x14ac:dyDescent="0.2">
      <c r="A1342" s="13">
        <v>44998</v>
      </c>
      <c r="B1342" s="1" t="s">
        <v>908</v>
      </c>
      <c r="C1342" s="2" t="s">
        <v>700</v>
      </c>
      <c r="D1342" s="1" t="s">
        <v>9</v>
      </c>
      <c r="F1342" s="3">
        <v>165000</v>
      </c>
      <c r="G1342" s="10">
        <f t="shared" si="27"/>
        <v>-5105159</v>
      </c>
    </row>
    <row r="1343" spans="1:7" x14ac:dyDescent="0.2">
      <c r="A1343" s="14">
        <v>44998</v>
      </c>
      <c r="B1343" s="15"/>
      <c r="C1343" s="16" t="s">
        <v>796</v>
      </c>
      <c r="D1343" s="15" t="s">
        <v>9</v>
      </c>
      <c r="E1343" s="17">
        <v>471160</v>
      </c>
      <c r="F1343" s="17"/>
      <c r="G1343" s="10">
        <f t="shared" si="27"/>
        <v>-4633999</v>
      </c>
    </row>
    <row r="1344" spans="1:7" x14ac:dyDescent="0.2">
      <c r="A1344" s="13">
        <v>44998</v>
      </c>
      <c r="C1344" s="2" t="s">
        <v>909</v>
      </c>
      <c r="D1344" s="1" t="s">
        <v>9</v>
      </c>
      <c r="E1344" s="3">
        <v>770547</v>
      </c>
      <c r="G1344" s="10">
        <f t="shared" si="27"/>
        <v>-3863452</v>
      </c>
    </row>
    <row r="1345" spans="1:7" x14ac:dyDescent="0.2">
      <c r="A1345" s="13">
        <v>44999</v>
      </c>
      <c r="C1345" s="2" t="s">
        <v>901</v>
      </c>
      <c r="D1345" s="1" t="s">
        <v>9</v>
      </c>
      <c r="F1345" s="3">
        <f>135585</f>
        <v>135585</v>
      </c>
      <c r="G1345" s="10">
        <f t="shared" si="27"/>
        <v>-3999037</v>
      </c>
    </row>
    <row r="1346" spans="1:7" x14ac:dyDescent="0.2">
      <c r="A1346" s="13">
        <v>44999</v>
      </c>
      <c r="C1346" s="2" t="s">
        <v>902</v>
      </c>
      <c r="D1346" s="1" t="s">
        <v>9</v>
      </c>
      <c r="F1346" s="3">
        <f>127912+275</f>
        <v>128187</v>
      </c>
      <c r="G1346" s="10">
        <f t="shared" si="27"/>
        <v>-4127224</v>
      </c>
    </row>
    <row r="1347" spans="1:7" x14ac:dyDescent="0.2">
      <c r="A1347" s="13">
        <v>44999</v>
      </c>
      <c r="C1347" s="2" t="s">
        <v>706</v>
      </c>
      <c r="D1347" s="1" t="s">
        <v>9</v>
      </c>
      <c r="F1347" s="3">
        <f>470684+275</f>
        <v>470959</v>
      </c>
      <c r="G1347" s="10">
        <f t="shared" si="27"/>
        <v>-4598183</v>
      </c>
    </row>
    <row r="1348" spans="1:7" x14ac:dyDescent="0.2">
      <c r="A1348" s="13">
        <v>44999</v>
      </c>
      <c r="C1348" s="2" t="s">
        <v>903</v>
      </c>
      <c r="D1348" s="1" t="s">
        <v>9</v>
      </c>
      <c r="F1348" s="3">
        <f>66438+275</f>
        <v>66713</v>
      </c>
      <c r="G1348" s="10">
        <f t="shared" si="27"/>
        <v>-4664896</v>
      </c>
    </row>
    <row r="1349" spans="1:7" x14ac:dyDescent="0.2">
      <c r="A1349" s="13">
        <v>44999</v>
      </c>
      <c r="C1349" s="2" t="s">
        <v>904</v>
      </c>
      <c r="D1349" s="1" t="s">
        <v>9</v>
      </c>
      <c r="F1349" s="3">
        <f>44777</f>
        <v>44777</v>
      </c>
      <c r="G1349" s="10">
        <f t="shared" si="27"/>
        <v>-4709673</v>
      </c>
    </row>
    <row r="1350" spans="1:7" x14ac:dyDescent="0.2">
      <c r="A1350" s="13">
        <v>44999</v>
      </c>
      <c r="C1350" s="2" t="s">
        <v>905</v>
      </c>
      <c r="D1350" s="1" t="s">
        <v>9</v>
      </c>
      <c r="F1350" s="3">
        <f>82128+275</f>
        <v>82403</v>
      </c>
      <c r="G1350" s="10">
        <f t="shared" si="27"/>
        <v>-4792076</v>
      </c>
    </row>
    <row r="1351" spans="1:7" x14ac:dyDescent="0.2">
      <c r="A1351" s="13">
        <v>44999</v>
      </c>
      <c r="C1351" s="2" t="s">
        <v>906</v>
      </c>
      <c r="D1351" s="1" t="s">
        <v>9</v>
      </c>
      <c r="F1351" s="3">
        <f>548665+275</f>
        <v>548940</v>
      </c>
      <c r="G1351" s="10">
        <f t="shared" si="27"/>
        <v>-5341016</v>
      </c>
    </row>
    <row r="1352" spans="1:7" x14ac:dyDescent="0.2">
      <c r="A1352" s="13">
        <v>44999</v>
      </c>
      <c r="C1352" s="2" t="s">
        <v>907</v>
      </c>
      <c r="D1352" s="1" t="s">
        <v>9</v>
      </c>
      <c r="E1352" s="3">
        <f>128950+202746+24304+226139+394667</f>
        <v>976806</v>
      </c>
      <c r="G1352" s="10">
        <f t="shared" si="27"/>
        <v>-4364210</v>
      </c>
    </row>
    <row r="1353" spans="1:7" x14ac:dyDescent="0.2">
      <c r="A1353" s="13">
        <v>44999</v>
      </c>
      <c r="C1353" s="2" t="s">
        <v>701</v>
      </c>
      <c r="D1353" s="1" t="s">
        <v>9</v>
      </c>
      <c r="E1353" s="3">
        <v>1746476</v>
      </c>
      <c r="G1353" s="10">
        <f t="shared" si="27"/>
        <v>-2617734</v>
      </c>
    </row>
    <row r="1354" spans="1:7" x14ac:dyDescent="0.2">
      <c r="A1354" s="13">
        <v>44999</v>
      </c>
      <c r="C1354" s="2" t="s">
        <v>913</v>
      </c>
      <c r="D1354" s="1" t="s">
        <v>9</v>
      </c>
      <c r="E1354" s="3">
        <f>166498+745630+1172257+600000</f>
        <v>2684385</v>
      </c>
      <c r="G1354" s="10">
        <f t="shared" si="27"/>
        <v>66651</v>
      </c>
    </row>
    <row r="1355" spans="1:7" x14ac:dyDescent="0.2">
      <c r="A1355" s="13">
        <v>45000</v>
      </c>
      <c r="C1355" s="2" t="s">
        <v>914</v>
      </c>
      <c r="D1355" s="1" t="s">
        <v>9</v>
      </c>
      <c r="E1355" s="3">
        <f>46131+108560+1194800</f>
        <v>1349491</v>
      </c>
      <c r="G1355" s="10">
        <f t="shared" si="27"/>
        <v>1416142</v>
      </c>
    </row>
    <row r="1356" spans="1:7" x14ac:dyDescent="0.2">
      <c r="A1356" s="13">
        <v>45000</v>
      </c>
      <c r="B1356" s="1" t="s">
        <v>915</v>
      </c>
      <c r="C1356" s="2" t="s">
        <v>918</v>
      </c>
      <c r="D1356" s="1" t="s">
        <v>9</v>
      </c>
      <c r="F1356" s="3">
        <v>410100</v>
      </c>
      <c r="G1356" s="10">
        <f t="shared" si="27"/>
        <v>1006042</v>
      </c>
    </row>
    <row r="1357" spans="1:7" x14ac:dyDescent="0.2">
      <c r="A1357" s="13">
        <v>45000</v>
      </c>
      <c r="B1357" s="1" t="s">
        <v>916</v>
      </c>
      <c r="C1357" s="2" t="s">
        <v>919</v>
      </c>
      <c r="G1357" s="10">
        <f t="shared" si="27"/>
        <v>1006042</v>
      </c>
    </row>
    <row r="1358" spans="1:7" x14ac:dyDescent="0.2">
      <c r="A1358" s="13">
        <v>45000</v>
      </c>
      <c r="B1358" s="1" t="s">
        <v>917</v>
      </c>
      <c r="C1358" s="23" t="s">
        <v>724</v>
      </c>
      <c r="F1358" s="3">
        <v>600000</v>
      </c>
      <c r="G1358" s="10">
        <f t="shared" si="27"/>
        <v>406042</v>
      </c>
    </row>
    <row r="1359" spans="1:7" x14ac:dyDescent="0.2">
      <c r="A1359" s="13">
        <v>45001</v>
      </c>
      <c r="C1359" s="2" t="s">
        <v>35</v>
      </c>
      <c r="D1359" s="1" t="s">
        <v>9</v>
      </c>
      <c r="F1359" s="3">
        <v>6600</v>
      </c>
      <c r="G1359" s="10">
        <f t="shared" ref="G1359:G1403" si="28">G1358+E1359-F1359</f>
        <v>399442</v>
      </c>
    </row>
    <row r="1360" spans="1:7" x14ac:dyDescent="0.2">
      <c r="A1360" s="13">
        <v>45001</v>
      </c>
      <c r="C1360" s="2" t="s">
        <v>18</v>
      </c>
      <c r="D1360" s="1" t="s">
        <v>9</v>
      </c>
      <c r="E1360" s="3">
        <v>540160</v>
      </c>
      <c r="G1360" s="10">
        <f t="shared" si="28"/>
        <v>939602</v>
      </c>
    </row>
    <row r="1361" spans="1:7" x14ac:dyDescent="0.2">
      <c r="A1361" s="13">
        <v>45002</v>
      </c>
      <c r="C1361" s="2" t="s">
        <v>920</v>
      </c>
      <c r="F1361" s="3">
        <f>1542158</f>
        <v>1542158</v>
      </c>
      <c r="G1361" s="10">
        <f t="shared" si="28"/>
        <v>-602556</v>
      </c>
    </row>
    <row r="1362" spans="1:7" x14ac:dyDescent="0.2">
      <c r="A1362" s="13">
        <v>45005</v>
      </c>
      <c r="C1362" s="2" t="s">
        <v>921</v>
      </c>
      <c r="E1362" s="3">
        <f>64192+218334+954750+335580+450465</f>
        <v>2023321</v>
      </c>
      <c r="G1362" s="10">
        <f t="shared" si="28"/>
        <v>1420765</v>
      </c>
    </row>
    <row r="1363" spans="1:7" x14ac:dyDescent="0.2">
      <c r="A1363" s="13">
        <v>45006</v>
      </c>
      <c r="C1363" s="2" t="s">
        <v>922</v>
      </c>
      <c r="F1363" s="3">
        <f>1511150</f>
        <v>1511150</v>
      </c>
      <c r="G1363" s="10">
        <f t="shared" si="28"/>
        <v>-90385</v>
      </c>
    </row>
    <row r="1364" spans="1:7" x14ac:dyDescent="0.2">
      <c r="A1364" s="13">
        <v>45006</v>
      </c>
      <c r="C1364" s="2" t="s">
        <v>923</v>
      </c>
      <c r="F1364" s="3">
        <f>2029018</f>
        <v>2029018</v>
      </c>
      <c r="G1364" s="10">
        <f t="shared" si="28"/>
        <v>-2119403</v>
      </c>
    </row>
    <row r="1365" spans="1:7" x14ac:dyDescent="0.2">
      <c r="G1365" s="10">
        <f t="shared" si="28"/>
        <v>-2119403</v>
      </c>
    </row>
    <row r="1366" spans="1:7" x14ac:dyDescent="0.2">
      <c r="G1366" s="10">
        <f t="shared" si="28"/>
        <v>-2119403</v>
      </c>
    </row>
    <row r="1367" spans="1:7" x14ac:dyDescent="0.2">
      <c r="G1367" s="10">
        <f t="shared" si="28"/>
        <v>-2119403</v>
      </c>
    </row>
    <row r="1368" spans="1:7" x14ac:dyDescent="0.2">
      <c r="G1368" s="10">
        <f t="shared" si="28"/>
        <v>-2119403</v>
      </c>
    </row>
    <row r="1369" spans="1:7" x14ac:dyDescent="0.2">
      <c r="G1369" s="10">
        <f t="shared" si="28"/>
        <v>-2119403</v>
      </c>
    </row>
    <row r="1370" spans="1:7" x14ac:dyDescent="0.2">
      <c r="G1370" s="10">
        <f t="shared" si="28"/>
        <v>-2119403</v>
      </c>
    </row>
    <row r="1371" spans="1:7" x14ac:dyDescent="0.2">
      <c r="G1371" s="10">
        <f t="shared" si="28"/>
        <v>-2119403</v>
      </c>
    </row>
    <row r="1372" spans="1:7" x14ac:dyDescent="0.2">
      <c r="G1372" s="10">
        <f t="shared" si="28"/>
        <v>-2119403</v>
      </c>
    </row>
    <row r="1373" spans="1:7" x14ac:dyDescent="0.2">
      <c r="G1373" s="10">
        <f t="shared" si="28"/>
        <v>-2119403</v>
      </c>
    </row>
    <row r="1374" spans="1:7" x14ac:dyDescent="0.2">
      <c r="G1374" s="10">
        <f t="shared" si="28"/>
        <v>-2119403</v>
      </c>
    </row>
    <row r="1375" spans="1:7" x14ac:dyDescent="0.2">
      <c r="G1375" s="10">
        <f t="shared" si="28"/>
        <v>-2119403</v>
      </c>
    </row>
    <row r="1376" spans="1:7" x14ac:dyDescent="0.2">
      <c r="G1376" s="10">
        <f t="shared" si="28"/>
        <v>-2119403</v>
      </c>
    </row>
    <row r="1377" spans="7:7" x14ac:dyDescent="0.2">
      <c r="G1377" s="10">
        <f t="shared" si="28"/>
        <v>-2119403</v>
      </c>
    </row>
    <row r="1378" spans="7:7" x14ac:dyDescent="0.2">
      <c r="G1378" s="10">
        <f t="shared" si="28"/>
        <v>-2119403</v>
      </c>
    </row>
    <row r="1379" spans="7:7" x14ac:dyDescent="0.2">
      <c r="G1379" s="10">
        <f t="shared" si="28"/>
        <v>-2119403</v>
      </c>
    </row>
    <row r="1380" spans="7:7" x14ac:dyDescent="0.2">
      <c r="G1380" s="10">
        <f t="shared" si="28"/>
        <v>-2119403</v>
      </c>
    </row>
    <row r="1381" spans="7:7" x14ac:dyDescent="0.2">
      <c r="G1381" s="10">
        <f t="shared" si="28"/>
        <v>-2119403</v>
      </c>
    </row>
    <row r="1382" spans="7:7" x14ac:dyDescent="0.2">
      <c r="G1382" s="10">
        <f t="shared" si="28"/>
        <v>-2119403</v>
      </c>
    </row>
    <row r="1383" spans="7:7" x14ac:dyDescent="0.2">
      <c r="G1383" s="10">
        <f t="shared" si="28"/>
        <v>-2119403</v>
      </c>
    </row>
    <row r="1384" spans="7:7" x14ac:dyDescent="0.2">
      <c r="G1384" s="10">
        <f t="shared" si="28"/>
        <v>-2119403</v>
      </c>
    </row>
    <row r="1385" spans="7:7" x14ac:dyDescent="0.2">
      <c r="G1385" s="10">
        <f t="shared" si="28"/>
        <v>-2119403</v>
      </c>
    </row>
    <row r="1386" spans="7:7" x14ac:dyDescent="0.2">
      <c r="G1386" s="10">
        <f t="shared" si="28"/>
        <v>-2119403</v>
      </c>
    </row>
    <row r="1387" spans="7:7" x14ac:dyDescent="0.2">
      <c r="G1387" s="10">
        <f t="shared" si="28"/>
        <v>-2119403</v>
      </c>
    </row>
    <row r="1388" spans="7:7" x14ac:dyDescent="0.2">
      <c r="G1388" s="10">
        <f t="shared" si="28"/>
        <v>-2119403</v>
      </c>
    </row>
    <row r="1389" spans="7:7" x14ac:dyDescent="0.2">
      <c r="G1389" s="10">
        <f t="shared" si="28"/>
        <v>-2119403</v>
      </c>
    </row>
    <row r="1390" spans="7:7" x14ac:dyDescent="0.2">
      <c r="G1390" s="10">
        <f t="shared" si="28"/>
        <v>-2119403</v>
      </c>
    </row>
    <row r="1391" spans="7:7" x14ac:dyDescent="0.2">
      <c r="G1391" s="10">
        <f t="shared" si="28"/>
        <v>-2119403</v>
      </c>
    </row>
    <row r="1392" spans="7:7" x14ac:dyDescent="0.2">
      <c r="G1392" s="10">
        <f t="shared" si="28"/>
        <v>-2119403</v>
      </c>
    </row>
    <row r="1393" spans="7:7" x14ac:dyDescent="0.2">
      <c r="G1393" s="10">
        <f t="shared" si="28"/>
        <v>-2119403</v>
      </c>
    </row>
    <row r="1394" spans="7:7" x14ac:dyDescent="0.2">
      <c r="G1394" s="10">
        <f t="shared" si="28"/>
        <v>-2119403</v>
      </c>
    </row>
    <row r="1395" spans="7:7" x14ac:dyDescent="0.2">
      <c r="G1395" s="10">
        <f t="shared" si="28"/>
        <v>-2119403</v>
      </c>
    </row>
    <row r="1396" spans="7:7" x14ac:dyDescent="0.2">
      <c r="G1396" s="10">
        <f t="shared" si="28"/>
        <v>-2119403</v>
      </c>
    </row>
    <row r="1397" spans="7:7" x14ac:dyDescent="0.2">
      <c r="G1397" s="10">
        <f t="shared" si="28"/>
        <v>-2119403</v>
      </c>
    </row>
    <row r="1398" spans="7:7" x14ac:dyDescent="0.2">
      <c r="G1398" s="10">
        <f t="shared" si="28"/>
        <v>-2119403</v>
      </c>
    </row>
    <row r="1399" spans="7:7" x14ac:dyDescent="0.2">
      <c r="G1399" s="10">
        <f t="shared" si="28"/>
        <v>-2119403</v>
      </c>
    </row>
    <row r="1400" spans="7:7" x14ac:dyDescent="0.2">
      <c r="G1400" s="10">
        <f t="shared" si="28"/>
        <v>-2119403</v>
      </c>
    </row>
    <row r="1401" spans="7:7" x14ac:dyDescent="0.2">
      <c r="G1401" s="10">
        <f t="shared" si="28"/>
        <v>-2119403</v>
      </c>
    </row>
    <row r="1402" spans="7:7" x14ac:dyDescent="0.2">
      <c r="G1402" s="10">
        <f t="shared" si="28"/>
        <v>-2119403</v>
      </c>
    </row>
    <row r="1403" spans="7:7" x14ac:dyDescent="0.2">
      <c r="G1403" s="10">
        <f t="shared" si="28"/>
        <v>-2119403</v>
      </c>
    </row>
  </sheetData>
  <sortState ref="A1353:F1361">
    <sortCondition ref="A1353"/>
  </sortState>
  <phoneticPr fontId="0" type="noConversion"/>
  <printOptions gridLines="1"/>
  <pageMargins left="0.39370078740157483" right="0.39370078740157483" top="0" bottom="0" header="0.51181102362204722" footer="0.51181102362204722"/>
  <pageSetup paperSize="9" fitToWidth="0" fitToHeight="0" orientation="portrait" horizontalDpi="300" verticalDpi="300" r:id="rId1"/>
  <headerFooter alignWithMargins="0"/>
  <rowBreaks count="15" manualBreakCount="15">
    <brk id="55" max="16383" man="1"/>
    <brk id="105" max="16383" man="1"/>
    <brk id="159" max="16383" man="1"/>
    <brk id="202" max="16383" man="1"/>
    <brk id="258" max="16383" man="1"/>
    <brk id="330" max="16383" man="1"/>
    <brk id="378" max="16383" man="1"/>
    <brk id="577" max="16383" man="1"/>
    <brk id="675" max="16383" man="1"/>
    <brk id="982" max="16383" man="1"/>
    <brk id="1031" max="16383" man="1"/>
    <brk id="1084" max="16383" man="1"/>
    <brk id="1204" max="16383" man="1"/>
    <brk id="1270" max="16383" man="1"/>
    <brk id="13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0"/>
    </sheetView>
  </sheetViews>
  <sheetFormatPr baseColWidth="10" defaultRowHeight="12.75" x14ac:dyDescent="0.2"/>
  <cols>
    <col min="3" max="3" width="11.42578125" customWidth="1"/>
  </cols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Emmanuel Roucher</cp:lastModifiedBy>
  <cp:lastPrinted>2021-02-01T08:30:57Z</cp:lastPrinted>
  <dcterms:created xsi:type="dcterms:W3CDTF">2000-03-08T15:08:34Z</dcterms:created>
  <dcterms:modified xsi:type="dcterms:W3CDTF">2023-03-20T15:12:53Z</dcterms:modified>
</cp:coreProperties>
</file>